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21 Condizionalità\Modelli di calcolo\"/>
    </mc:Choice>
  </mc:AlternateContent>
  <xr:revisionPtr revIDLastSave="0" documentId="13_ncr:1_{274D639F-8DD0-466C-B21F-3BF03234EB62}" xr6:coauthVersionLast="46" xr6:coauthVersionMax="46" xr10:uidLastSave="{00000000-0000-0000-0000-000000000000}"/>
  <bookViews>
    <workbookView xWindow="-120" yWindow="-120" windowWidth="29040" windowHeight="15840" tabRatio="944" xr2:uid="{00000000-000D-0000-FFFF-FFFF00000000}"/>
  </bookViews>
  <sheets>
    <sheet name="Quadro_Riassuntivo" sheetId="5" r:id="rId1"/>
    <sheet name="Aree_Scoperte" sheetId="7" r:id="rId2"/>
    <sheet name="Acquis_Cessioni_Prod_Agg" sheetId="20" r:id="rId3"/>
    <sheet name="Stoccaggi" sheetId="4" r:id="rId4"/>
    <sheet name="Bovini_Latte" sheetId="6" r:id="rId5"/>
    <sheet name="Bovini_Carne" sheetId="2" r:id="rId6"/>
    <sheet name="Avicoli" sheetId="3" r:id="rId7"/>
    <sheet name="Bufalini_Latte" sheetId="19" r:id="rId8"/>
    <sheet name="Bufalini_Carne" sheetId="18" r:id="rId9"/>
    <sheet name="Caprini" sheetId="12" r:id="rId10"/>
    <sheet name="Cunicoli" sheetId="11" r:id="rId11"/>
    <sheet name="Equini" sheetId="10" r:id="rId12"/>
    <sheet name="Ovini" sheetId="14" r:id="rId13"/>
    <sheet name="Suini" sheetId="15" r:id="rId14"/>
  </sheets>
  <definedNames>
    <definedName name="_xlnm._FilterDatabase" localSheetId="6" hidden="1">Avicoli!$A$8:$AC$8</definedName>
    <definedName name="_xlnm._FilterDatabase" localSheetId="5" hidden="1">Bovini_Carne!$A$7:$AB$139</definedName>
    <definedName name="_xlnm._FilterDatabase" localSheetId="4" hidden="1">Bovini_Latte!$A$7:$AJ$92</definedName>
    <definedName name="_xlnm._FilterDatabase" localSheetId="8" hidden="1">Bufalini_Carne!$A$7:$AB$136</definedName>
    <definedName name="_xlnm._FilterDatabase" localSheetId="7" hidden="1">Bufalini_Latte!$A$7:$AJ$93</definedName>
    <definedName name="_xlnm._FilterDatabase" localSheetId="12" hidden="1">Ovini!$A$7:$AB$17</definedName>
    <definedName name="_xlnm._FilterDatabase" localSheetId="13" hidden="1">Suini!$A$7:$AD$116</definedName>
    <definedName name="Stabulazioni" localSheetId="4">Bovini_Latte!$A$7:$AA$590</definedName>
    <definedName name="Stabulazioni" localSheetId="7">Bufalini_Latte!$A$8:$Z$589</definedName>
    <definedName name="_xlnm.Print_Titles" localSheetId="6">Avicoli!$1:$8</definedName>
    <definedName name="_xlnm.Print_Titles" localSheetId="5">Bovini_Carne!$1:$7</definedName>
    <definedName name="_xlnm.Print_Titles" localSheetId="4">Bovini_Latte!$1:$7</definedName>
    <definedName name="_xlnm.Print_Titles" localSheetId="8">Bufalini_Carne!$7:$7</definedName>
    <definedName name="_xlnm.Print_Titles" localSheetId="7">Bufalini_Latte!$7:$7</definedName>
    <definedName name="_xlnm.Print_Titles" localSheetId="9">Caprini!$1:$6</definedName>
    <definedName name="_xlnm.Print_Titles" localSheetId="10">Cunicoli!$1:$6</definedName>
    <definedName name="_xlnm.Print_Titles" localSheetId="11">Equini!$1:$6</definedName>
    <definedName name="_xlnm.Print_Titles" localSheetId="12">Ovini!$1:$6</definedName>
    <definedName name="_xlnm.Print_Titles" localSheetId="13">Suini!$1:$7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0" i="5" l="1"/>
  <c r="B43" i="5"/>
  <c r="B42" i="5"/>
  <c r="B41" i="5"/>
  <c r="AA93" i="19"/>
  <c r="Z93" i="19"/>
  <c r="Y93" i="19"/>
  <c r="D93" i="19"/>
  <c r="P68" i="19"/>
  <c r="Q68" i="19"/>
  <c r="U68" i="19" s="1"/>
  <c r="W68" i="19"/>
  <c r="Z92" i="6"/>
  <c r="D92" i="6"/>
  <c r="Y92" i="6"/>
  <c r="AA92" i="6"/>
  <c r="P67" i="6"/>
  <c r="Q67" i="6"/>
  <c r="W67" i="6"/>
  <c r="L128" i="5"/>
  <c r="K128" i="5"/>
  <c r="K132" i="5" s="1"/>
  <c r="B128" i="5"/>
  <c r="E72" i="5"/>
  <c r="F170" i="5" s="1"/>
  <c r="D72" i="5"/>
  <c r="K131" i="5"/>
  <c r="K130" i="5"/>
  <c r="K129" i="5"/>
  <c r="H154" i="5"/>
  <c r="H152" i="5"/>
  <c r="H149" i="5"/>
  <c r="D181" i="5" s="1"/>
  <c r="H148" i="5"/>
  <c r="D180" i="5" s="1"/>
  <c r="H147" i="5"/>
  <c r="H146" i="5"/>
  <c r="H145" i="5"/>
  <c r="D177" i="5" s="1"/>
  <c r="H144" i="5"/>
  <c r="D176" i="5"/>
  <c r="H143" i="5"/>
  <c r="D175" i="5" s="1"/>
  <c r="H142" i="5"/>
  <c r="D174" i="5" s="1"/>
  <c r="H140" i="5"/>
  <c r="D172" i="5" s="1"/>
  <c r="G136" i="5"/>
  <c r="L131" i="5"/>
  <c r="J131" i="5" s="1"/>
  <c r="G131" i="5"/>
  <c r="L130" i="5"/>
  <c r="L129" i="5"/>
  <c r="L158" i="5" s="1"/>
  <c r="G125" i="5"/>
  <c r="G123" i="5"/>
  <c r="G120" i="5"/>
  <c r="G119" i="5"/>
  <c r="G118" i="5"/>
  <c r="G117" i="5"/>
  <c r="G116" i="5"/>
  <c r="G115" i="5"/>
  <c r="G114" i="5"/>
  <c r="G113" i="5"/>
  <c r="G111" i="5"/>
  <c r="G108" i="5"/>
  <c r="G107" i="5"/>
  <c r="G106" i="5"/>
  <c r="G105" i="5"/>
  <c r="G104" i="5"/>
  <c r="G103" i="5"/>
  <c r="G102" i="5"/>
  <c r="G101" i="5"/>
  <c r="G99" i="5"/>
  <c r="O54" i="15"/>
  <c r="O55" i="15"/>
  <c r="O56" i="15"/>
  <c r="O57" i="15"/>
  <c r="O58" i="15"/>
  <c r="O59" i="15"/>
  <c r="O60" i="15"/>
  <c r="O61" i="15"/>
  <c r="O62" i="15"/>
  <c r="O63" i="15"/>
  <c r="O53" i="15"/>
  <c r="AC53" i="15"/>
  <c r="AD53" i="15"/>
  <c r="AC54" i="15"/>
  <c r="AD54" i="15"/>
  <c r="AC55" i="15"/>
  <c r="AD55" i="15"/>
  <c r="AC56" i="15"/>
  <c r="AD56" i="15"/>
  <c r="AC57" i="15"/>
  <c r="AD57" i="15"/>
  <c r="AC58" i="15"/>
  <c r="AD58" i="15"/>
  <c r="AC59" i="15"/>
  <c r="AD59" i="15"/>
  <c r="AC60" i="15"/>
  <c r="AD60" i="15"/>
  <c r="AC61" i="15"/>
  <c r="AD61" i="15"/>
  <c r="AC62" i="15"/>
  <c r="AD62" i="15"/>
  <c r="AC63" i="15"/>
  <c r="AD63" i="15"/>
  <c r="R53" i="15"/>
  <c r="U53" i="15"/>
  <c r="W53" i="15"/>
  <c r="R54" i="15"/>
  <c r="Y54" i="15" s="1"/>
  <c r="W54" i="15"/>
  <c r="R55" i="15"/>
  <c r="V55" i="15" s="1"/>
  <c r="W55" i="15"/>
  <c r="R56" i="15"/>
  <c r="S56" i="15" s="1"/>
  <c r="W56" i="15"/>
  <c r="R57" i="15"/>
  <c r="Y57" i="15"/>
  <c r="W57" i="15"/>
  <c r="R58" i="15"/>
  <c r="W58" i="15"/>
  <c r="R59" i="15"/>
  <c r="S59" i="15" s="1"/>
  <c r="W59" i="15"/>
  <c r="R60" i="15"/>
  <c r="T60" i="15"/>
  <c r="W60" i="15"/>
  <c r="R61" i="15"/>
  <c r="S61" i="15" s="1"/>
  <c r="W61" i="15"/>
  <c r="R62" i="15"/>
  <c r="V62" i="15"/>
  <c r="W62" i="15"/>
  <c r="R63" i="15"/>
  <c r="T63" i="15" s="1"/>
  <c r="W63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8" i="15"/>
  <c r="Q18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P37" i="15"/>
  <c r="Q37" i="15"/>
  <c r="P38" i="15"/>
  <c r="Q38" i="15"/>
  <c r="P39" i="15"/>
  <c r="Q39" i="15"/>
  <c r="P40" i="15"/>
  <c r="Q40" i="15"/>
  <c r="P41" i="15"/>
  <c r="Q41" i="15"/>
  <c r="P42" i="15"/>
  <c r="Q42" i="15"/>
  <c r="P43" i="15"/>
  <c r="Q43" i="15"/>
  <c r="P44" i="15"/>
  <c r="Q44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P53" i="15"/>
  <c r="Q53" i="15"/>
  <c r="P54" i="15"/>
  <c r="Q54" i="15"/>
  <c r="P55" i="15"/>
  <c r="Q55" i="15"/>
  <c r="P56" i="15"/>
  <c r="Q56" i="15"/>
  <c r="P57" i="15"/>
  <c r="Q57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Q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P75" i="15"/>
  <c r="Q75" i="15"/>
  <c r="P76" i="15"/>
  <c r="Q76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Q94" i="15"/>
  <c r="P95" i="15"/>
  <c r="Q95" i="15"/>
  <c r="Q96" i="15"/>
  <c r="P97" i="15"/>
  <c r="Q97" i="15"/>
  <c r="P98" i="15"/>
  <c r="Q98" i="15"/>
  <c r="P99" i="15"/>
  <c r="Q99" i="15"/>
  <c r="P100" i="15"/>
  <c r="Q100" i="15"/>
  <c r="P101" i="15"/>
  <c r="Q101" i="15"/>
  <c r="P102" i="15"/>
  <c r="Q102" i="15"/>
  <c r="P103" i="15"/>
  <c r="Q103" i="15"/>
  <c r="P104" i="15"/>
  <c r="Q104" i="15"/>
  <c r="P105" i="15"/>
  <c r="Q105" i="15"/>
  <c r="P106" i="15"/>
  <c r="Q106" i="15"/>
  <c r="P107" i="15"/>
  <c r="Q107" i="15"/>
  <c r="P108" i="15"/>
  <c r="Q108" i="15"/>
  <c r="P109" i="15"/>
  <c r="Q109" i="15"/>
  <c r="P110" i="15"/>
  <c r="Q110" i="15"/>
  <c r="P111" i="15"/>
  <c r="Q111" i="15"/>
  <c r="P112" i="15"/>
  <c r="Q112" i="15"/>
  <c r="P113" i="15"/>
  <c r="Q113" i="15"/>
  <c r="P114" i="15"/>
  <c r="Q114" i="15"/>
  <c r="P115" i="15"/>
  <c r="Q115" i="15"/>
  <c r="Q8" i="15"/>
  <c r="P8" i="15"/>
  <c r="R8" i="15"/>
  <c r="X8" i="15"/>
  <c r="W8" i="15"/>
  <c r="R9" i="15"/>
  <c r="U9" i="15"/>
  <c r="W9" i="15"/>
  <c r="R10" i="15"/>
  <c r="Y10" i="15" s="1"/>
  <c r="W10" i="15"/>
  <c r="R11" i="15"/>
  <c r="X11" i="15" s="1"/>
  <c r="W11" i="15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9" i="20"/>
  <c r="E94" i="5"/>
  <c r="F94" i="5" s="1"/>
  <c r="C5" i="20"/>
  <c r="C4" i="20"/>
  <c r="F82" i="20"/>
  <c r="E82" i="20"/>
  <c r="H81" i="20"/>
  <c r="G81" i="20"/>
  <c r="H80" i="20"/>
  <c r="G80" i="20"/>
  <c r="H79" i="20"/>
  <c r="G79" i="20"/>
  <c r="H78" i="20"/>
  <c r="G78" i="20"/>
  <c r="H77" i="20"/>
  <c r="G77" i="20"/>
  <c r="H76" i="20"/>
  <c r="G76" i="20"/>
  <c r="H75" i="20"/>
  <c r="G75" i="20"/>
  <c r="H74" i="20"/>
  <c r="G74" i="20"/>
  <c r="H73" i="20"/>
  <c r="G73" i="20"/>
  <c r="H72" i="20"/>
  <c r="G72" i="20"/>
  <c r="H71" i="20"/>
  <c r="G71" i="20"/>
  <c r="H70" i="20"/>
  <c r="G70" i="20"/>
  <c r="H69" i="20"/>
  <c r="G69" i="20"/>
  <c r="H68" i="20"/>
  <c r="G68" i="20"/>
  <c r="H67" i="20"/>
  <c r="H82" i="20"/>
  <c r="D94" i="5" s="1"/>
  <c r="G67" i="20"/>
  <c r="G63" i="20"/>
  <c r="F63" i="20"/>
  <c r="P62" i="20"/>
  <c r="O62" i="20"/>
  <c r="N62" i="20"/>
  <c r="M62" i="20"/>
  <c r="L62" i="20"/>
  <c r="K62" i="20"/>
  <c r="J62" i="20"/>
  <c r="I62" i="20"/>
  <c r="P61" i="20"/>
  <c r="O61" i="20"/>
  <c r="N61" i="20"/>
  <c r="M61" i="20"/>
  <c r="L61" i="20"/>
  <c r="K61" i="20"/>
  <c r="J61" i="20"/>
  <c r="I61" i="20"/>
  <c r="P60" i="20"/>
  <c r="O60" i="20"/>
  <c r="N60" i="20"/>
  <c r="M60" i="20"/>
  <c r="L60" i="20"/>
  <c r="K60" i="20"/>
  <c r="J60" i="20"/>
  <c r="I60" i="20"/>
  <c r="P59" i="20"/>
  <c r="O59" i="20"/>
  <c r="N59" i="20"/>
  <c r="M59" i="20"/>
  <c r="L59" i="20"/>
  <c r="K59" i="20"/>
  <c r="J59" i="20"/>
  <c r="I59" i="20"/>
  <c r="P58" i="20"/>
  <c r="O58" i="20"/>
  <c r="N58" i="20"/>
  <c r="M58" i="20"/>
  <c r="L58" i="20"/>
  <c r="K58" i="20"/>
  <c r="J58" i="20"/>
  <c r="I58" i="20"/>
  <c r="P57" i="20"/>
  <c r="O57" i="20"/>
  <c r="N57" i="20"/>
  <c r="M57" i="20"/>
  <c r="L57" i="20"/>
  <c r="K57" i="20"/>
  <c r="J57" i="20"/>
  <c r="I57" i="20"/>
  <c r="P56" i="20"/>
  <c r="O56" i="20"/>
  <c r="N56" i="20"/>
  <c r="M56" i="20"/>
  <c r="L56" i="20"/>
  <c r="K56" i="20"/>
  <c r="J56" i="20"/>
  <c r="I56" i="20"/>
  <c r="P55" i="20"/>
  <c r="O55" i="20"/>
  <c r="N55" i="20"/>
  <c r="M55" i="20"/>
  <c r="L55" i="20"/>
  <c r="K55" i="20"/>
  <c r="J55" i="20"/>
  <c r="I55" i="20"/>
  <c r="P54" i="20"/>
  <c r="O54" i="20"/>
  <c r="N54" i="20"/>
  <c r="M54" i="20"/>
  <c r="L54" i="20"/>
  <c r="K54" i="20"/>
  <c r="J54" i="20"/>
  <c r="I54" i="20"/>
  <c r="P53" i="20"/>
  <c r="O53" i="20"/>
  <c r="N53" i="20"/>
  <c r="M53" i="20"/>
  <c r="L53" i="20"/>
  <c r="K53" i="20"/>
  <c r="J53" i="20"/>
  <c r="I53" i="20"/>
  <c r="P52" i="20"/>
  <c r="O52" i="20"/>
  <c r="N52" i="20"/>
  <c r="M52" i="20"/>
  <c r="L52" i="20"/>
  <c r="K52" i="20"/>
  <c r="J52" i="20"/>
  <c r="I52" i="20"/>
  <c r="P51" i="20"/>
  <c r="O51" i="20"/>
  <c r="N51" i="20"/>
  <c r="M51" i="20"/>
  <c r="L51" i="20"/>
  <c r="K51" i="20"/>
  <c r="J51" i="20"/>
  <c r="I51" i="20"/>
  <c r="P50" i="20"/>
  <c r="O50" i="20"/>
  <c r="N50" i="20"/>
  <c r="M50" i="20"/>
  <c r="L50" i="20"/>
  <c r="K50" i="20"/>
  <c r="J50" i="20"/>
  <c r="I50" i="20"/>
  <c r="P49" i="20"/>
  <c r="O49" i="20"/>
  <c r="N49" i="20"/>
  <c r="M49" i="20"/>
  <c r="L49" i="20"/>
  <c r="K49" i="20"/>
  <c r="J49" i="20"/>
  <c r="I49" i="20"/>
  <c r="P48" i="20"/>
  <c r="P63" i="20" s="1"/>
  <c r="E93" i="5" s="1"/>
  <c r="O48" i="20"/>
  <c r="N48" i="20"/>
  <c r="M48" i="20"/>
  <c r="L48" i="20"/>
  <c r="L63" i="20" s="1"/>
  <c r="E92" i="5" s="1"/>
  <c r="K48" i="20"/>
  <c r="J48" i="20"/>
  <c r="J63" i="20" s="1"/>
  <c r="C92" i="5" s="1"/>
  <c r="J45" i="5" s="1"/>
  <c r="I48" i="20"/>
  <c r="F44" i="20"/>
  <c r="E44" i="20"/>
  <c r="D44" i="20"/>
  <c r="J43" i="20"/>
  <c r="I43" i="20"/>
  <c r="H43" i="20"/>
  <c r="G43" i="20"/>
  <c r="J42" i="20"/>
  <c r="I42" i="20"/>
  <c r="H42" i="20"/>
  <c r="G42" i="20"/>
  <c r="J41" i="20"/>
  <c r="I41" i="20"/>
  <c r="H41" i="20"/>
  <c r="G41" i="20"/>
  <c r="J40" i="20"/>
  <c r="I40" i="20"/>
  <c r="H40" i="20"/>
  <c r="G40" i="20"/>
  <c r="J39" i="20"/>
  <c r="I39" i="20"/>
  <c r="H39" i="20"/>
  <c r="G39" i="20"/>
  <c r="J38" i="20"/>
  <c r="I38" i="20"/>
  <c r="H38" i="20"/>
  <c r="G38" i="20"/>
  <c r="J37" i="20"/>
  <c r="I37" i="20"/>
  <c r="H37" i="20"/>
  <c r="G37" i="20"/>
  <c r="J36" i="20"/>
  <c r="I36" i="20"/>
  <c r="H36" i="20"/>
  <c r="G36" i="20"/>
  <c r="J35" i="20"/>
  <c r="I35" i="20"/>
  <c r="H35" i="20"/>
  <c r="G35" i="20"/>
  <c r="J34" i="20"/>
  <c r="I34" i="20"/>
  <c r="H34" i="20"/>
  <c r="G34" i="20"/>
  <c r="J33" i="20"/>
  <c r="I33" i="20"/>
  <c r="H33" i="20"/>
  <c r="G33" i="20"/>
  <c r="J32" i="20"/>
  <c r="I32" i="20"/>
  <c r="H32" i="20"/>
  <c r="G32" i="20"/>
  <c r="J31" i="20"/>
  <c r="I31" i="20"/>
  <c r="H31" i="20"/>
  <c r="G31" i="20"/>
  <c r="J30" i="20"/>
  <c r="I30" i="20"/>
  <c r="H30" i="20"/>
  <c r="G30" i="20"/>
  <c r="J29" i="20"/>
  <c r="I29" i="20"/>
  <c r="H29" i="20"/>
  <c r="G29" i="20"/>
  <c r="F24" i="20"/>
  <c r="E24" i="20"/>
  <c r="J23" i="20"/>
  <c r="I23" i="20"/>
  <c r="H23" i="20"/>
  <c r="L23" i="20" s="1"/>
  <c r="J22" i="20"/>
  <c r="I22" i="20"/>
  <c r="H22" i="20"/>
  <c r="L22" i="20" s="1"/>
  <c r="J21" i="20"/>
  <c r="I21" i="20"/>
  <c r="H21" i="20"/>
  <c r="J20" i="20"/>
  <c r="I20" i="20"/>
  <c r="H20" i="20"/>
  <c r="L20" i="20"/>
  <c r="J19" i="20"/>
  <c r="I19" i="20"/>
  <c r="H19" i="20"/>
  <c r="L19" i="20"/>
  <c r="J18" i="20"/>
  <c r="I18" i="20"/>
  <c r="H18" i="20"/>
  <c r="L18" i="20"/>
  <c r="J17" i="20"/>
  <c r="I17" i="20"/>
  <c r="H17" i="20"/>
  <c r="L17" i="20"/>
  <c r="J16" i="20"/>
  <c r="I16" i="20"/>
  <c r="H16" i="20"/>
  <c r="L16" i="20"/>
  <c r="J15" i="20"/>
  <c r="I15" i="20"/>
  <c r="H15" i="20"/>
  <c r="L15" i="20"/>
  <c r="J14" i="20"/>
  <c r="I14" i="20"/>
  <c r="H14" i="20"/>
  <c r="L14" i="20"/>
  <c r="J13" i="20"/>
  <c r="I13" i="20"/>
  <c r="H13" i="20"/>
  <c r="L13" i="20"/>
  <c r="J12" i="20"/>
  <c r="I12" i="20"/>
  <c r="H12" i="20"/>
  <c r="L12" i="20"/>
  <c r="J11" i="20"/>
  <c r="I11" i="20"/>
  <c r="H11" i="20"/>
  <c r="L11" i="20"/>
  <c r="J10" i="20"/>
  <c r="I10" i="20"/>
  <c r="H10" i="20"/>
  <c r="L10" i="20"/>
  <c r="J9" i="20"/>
  <c r="I9" i="20"/>
  <c r="H9" i="20"/>
  <c r="L9" i="20" s="1"/>
  <c r="G24" i="20"/>
  <c r="V9" i="11"/>
  <c r="W9" i="11"/>
  <c r="V10" i="11"/>
  <c r="W10" i="11"/>
  <c r="V11" i="11"/>
  <c r="W11" i="11"/>
  <c r="W14" i="11" s="1"/>
  <c r="V12" i="11"/>
  <c r="W12" i="11"/>
  <c r="V13" i="11"/>
  <c r="W13" i="11"/>
  <c r="W8" i="11"/>
  <c r="V8" i="11"/>
  <c r="V8" i="12"/>
  <c r="V17" i="12" s="1"/>
  <c r="AC9" i="19"/>
  <c r="AC78" i="19"/>
  <c r="F18" i="4"/>
  <c r="F22" i="4"/>
  <c r="G22" i="4" s="1"/>
  <c r="F29" i="4"/>
  <c r="V9" i="19"/>
  <c r="V78" i="19"/>
  <c r="V9" i="18"/>
  <c r="W9" i="18"/>
  <c r="V10" i="18"/>
  <c r="W10" i="18"/>
  <c r="V11" i="18"/>
  <c r="W11" i="18"/>
  <c r="V12" i="18"/>
  <c r="W12" i="18"/>
  <c r="V13" i="18"/>
  <c r="W13" i="18"/>
  <c r="V14" i="18"/>
  <c r="W14" i="18"/>
  <c r="V15" i="18"/>
  <c r="W15" i="18"/>
  <c r="V16" i="18"/>
  <c r="W16" i="18"/>
  <c r="V17" i="18"/>
  <c r="W17" i="18"/>
  <c r="V18" i="18"/>
  <c r="W18" i="18"/>
  <c r="V19" i="18"/>
  <c r="W19" i="18"/>
  <c r="V20" i="18"/>
  <c r="W20" i="18"/>
  <c r="V21" i="18"/>
  <c r="W21" i="18"/>
  <c r="V22" i="18"/>
  <c r="W22" i="18"/>
  <c r="V23" i="18"/>
  <c r="W23" i="18"/>
  <c r="V24" i="18"/>
  <c r="W24" i="18"/>
  <c r="V25" i="18"/>
  <c r="W25" i="18"/>
  <c r="V26" i="18"/>
  <c r="W26" i="18"/>
  <c r="V27" i="18"/>
  <c r="W27" i="18"/>
  <c r="V28" i="18"/>
  <c r="W28" i="18"/>
  <c r="V29" i="18"/>
  <c r="W29" i="18"/>
  <c r="V30" i="18"/>
  <c r="W30" i="18"/>
  <c r="V31" i="18"/>
  <c r="W31" i="18"/>
  <c r="V32" i="18"/>
  <c r="W32" i="18"/>
  <c r="V33" i="18"/>
  <c r="W33" i="18"/>
  <c r="V34" i="18"/>
  <c r="W34" i="18"/>
  <c r="V35" i="18"/>
  <c r="W35" i="18"/>
  <c r="V36" i="18"/>
  <c r="W36" i="18"/>
  <c r="V37" i="18"/>
  <c r="W37" i="18"/>
  <c r="V38" i="18"/>
  <c r="W38" i="18"/>
  <c r="V39" i="18"/>
  <c r="W39" i="18"/>
  <c r="V40" i="18"/>
  <c r="W40" i="18"/>
  <c r="V41" i="18"/>
  <c r="W41" i="18"/>
  <c r="V42" i="18"/>
  <c r="W42" i="18"/>
  <c r="V43" i="18"/>
  <c r="W43" i="18"/>
  <c r="V44" i="18"/>
  <c r="W44" i="18"/>
  <c r="V45" i="18"/>
  <c r="W45" i="18"/>
  <c r="V46" i="18"/>
  <c r="W46" i="18"/>
  <c r="V47" i="18"/>
  <c r="W47" i="18"/>
  <c r="V48" i="18"/>
  <c r="W48" i="18"/>
  <c r="V49" i="18"/>
  <c r="W49" i="18"/>
  <c r="V50" i="18"/>
  <c r="W50" i="18"/>
  <c r="V51" i="18"/>
  <c r="W51" i="18"/>
  <c r="V52" i="18"/>
  <c r="W52" i="18"/>
  <c r="V53" i="18"/>
  <c r="W53" i="18"/>
  <c r="V54" i="18"/>
  <c r="W54" i="18"/>
  <c r="V55" i="18"/>
  <c r="W55" i="18"/>
  <c r="V56" i="18"/>
  <c r="W56" i="18"/>
  <c r="V57" i="18"/>
  <c r="W57" i="18"/>
  <c r="V58" i="18"/>
  <c r="W58" i="18"/>
  <c r="V59" i="18"/>
  <c r="W59" i="18"/>
  <c r="V60" i="18"/>
  <c r="W60" i="18"/>
  <c r="V61" i="18"/>
  <c r="W61" i="18"/>
  <c r="V62" i="18"/>
  <c r="W62" i="18"/>
  <c r="V63" i="18"/>
  <c r="W63" i="18"/>
  <c r="V64" i="18"/>
  <c r="W64" i="18"/>
  <c r="V65" i="18"/>
  <c r="W65" i="18"/>
  <c r="V66" i="18"/>
  <c r="W66" i="18"/>
  <c r="V67" i="18"/>
  <c r="W67" i="18"/>
  <c r="V68" i="18"/>
  <c r="W68" i="18"/>
  <c r="V69" i="18"/>
  <c r="W69" i="18"/>
  <c r="V70" i="18"/>
  <c r="W70" i="18"/>
  <c r="V71" i="18"/>
  <c r="W71" i="18"/>
  <c r="V72" i="18"/>
  <c r="W72" i="18"/>
  <c r="V73" i="18"/>
  <c r="W73" i="18"/>
  <c r="V74" i="18"/>
  <c r="W74" i="18"/>
  <c r="V75" i="18"/>
  <c r="W75" i="18"/>
  <c r="V76" i="18"/>
  <c r="W76" i="18"/>
  <c r="V77" i="18"/>
  <c r="W77" i="18"/>
  <c r="V78" i="18"/>
  <c r="W78" i="18"/>
  <c r="V79" i="18"/>
  <c r="W79" i="18"/>
  <c r="V80" i="18"/>
  <c r="W80" i="18"/>
  <c r="V81" i="18"/>
  <c r="W81" i="18"/>
  <c r="V82" i="18"/>
  <c r="W82" i="18"/>
  <c r="V83" i="18"/>
  <c r="W83" i="18"/>
  <c r="V84" i="18"/>
  <c r="W84" i="18"/>
  <c r="V85" i="18"/>
  <c r="W85" i="18"/>
  <c r="V86" i="18"/>
  <c r="W86" i="18"/>
  <c r="V87" i="18"/>
  <c r="W87" i="18"/>
  <c r="V88" i="18"/>
  <c r="W88" i="18"/>
  <c r="V89" i="18"/>
  <c r="W89" i="18"/>
  <c r="V90" i="18"/>
  <c r="W90" i="18"/>
  <c r="V91" i="18"/>
  <c r="W91" i="18"/>
  <c r="V92" i="18"/>
  <c r="W92" i="18"/>
  <c r="V93" i="18"/>
  <c r="W93" i="18"/>
  <c r="V94" i="18"/>
  <c r="W94" i="18"/>
  <c r="V95" i="18"/>
  <c r="W95" i="18"/>
  <c r="V96" i="18"/>
  <c r="W96" i="18"/>
  <c r="V97" i="18"/>
  <c r="W97" i="18"/>
  <c r="V98" i="18"/>
  <c r="W98" i="18"/>
  <c r="V99" i="18"/>
  <c r="W99" i="18"/>
  <c r="V100" i="18"/>
  <c r="W100" i="18"/>
  <c r="V101" i="18"/>
  <c r="W101" i="18"/>
  <c r="V102" i="18"/>
  <c r="W102" i="18"/>
  <c r="V103" i="18"/>
  <c r="W103" i="18"/>
  <c r="V104" i="18"/>
  <c r="W104" i="18"/>
  <c r="V105" i="18"/>
  <c r="W105" i="18"/>
  <c r="V106" i="18"/>
  <c r="W106" i="18"/>
  <c r="V107" i="18"/>
  <c r="W107" i="18"/>
  <c r="V108" i="18"/>
  <c r="W108" i="18"/>
  <c r="V109" i="18"/>
  <c r="W109" i="18"/>
  <c r="V110" i="18"/>
  <c r="W110" i="18"/>
  <c r="V111" i="18"/>
  <c r="W111" i="18"/>
  <c r="V112" i="18"/>
  <c r="W112" i="18"/>
  <c r="V113" i="18"/>
  <c r="W113" i="18"/>
  <c r="V114" i="18"/>
  <c r="W114" i="18"/>
  <c r="V115" i="18"/>
  <c r="W115" i="18"/>
  <c r="V116" i="18"/>
  <c r="W116" i="18"/>
  <c r="V117" i="18"/>
  <c r="W117" i="18"/>
  <c r="V118" i="18"/>
  <c r="W118" i="18"/>
  <c r="V119" i="18"/>
  <c r="W119" i="18"/>
  <c r="V120" i="18"/>
  <c r="W120" i="18"/>
  <c r="V121" i="18"/>
  <c r="W121" i="18"/>
  <c r="V122" i="18"/>
  <c r="W122" i="18"/>
  <c r="V123" i="18"/>
  <c r="W123" i="18"/>
  <c r="V124" i="18"/>
  <c r="W124" i="18"/>
  <c r="V125" i="18"/>
  <c r="W125" i="18"/>
  <c r="V126" i="18"/>
  <c r="W126" i="18"/>
  <c r="V127" i="18"/>
  <c r="W127" i="18"/>
  <c r="V128" i="18"/>
  <c r="W128" i="18"/>
  <c r="V129" i="18"/>
  <c r="W129" i="18"/>
  <c r="V130" i="18"/>
  <c r="W130" i="18"/>
  <c r="V131" i="18"/>
  <c r="W131" i="18"/>
  <c r="V132" i="18"/>
  <c r="W132" i="18"/>
  <c r="V133" i="18"/>
  <c r="W133" i="18"/>
  <c r="V134" i="18"/>
  <c r="W134" i="18"/>
  <c r="V135" i="18"/>
  <c r="W135" i="18"/>
  <c r="V8" i="18"/>
  <c r="W8" i="18"/>
  <c r="V9" i="10"/>
  <c r="W9" i="10"/>
  <c r="V10" i="10"/>
  <c r="W10" i="10"/>
  <c r="V11" i="10"/>
  <c r="W11" i="10"/>
  <c r="V12" i="10"/>
  <c r="W12" i="10"/>
  <c r="V13" i="10"/>
  <c r="W13" i="10"/>
  <c r="W8" i="10"/>
  <c r="V8" i="10"/>
  <c r="F30" i="4"/>
  <c r="V9" i="14"/>
  <c r="W9" i="14"/>
  <c r="V10" i="14"/>
  <c r="W10" i="14"/>
  <c r="V11" i="14"/>
  <c r="W11" i="14"/>
  <c r="V12" i="14"/>
  <c r="W12" i="14"/>
  <c r="V13" i="14"/>
  <c r="W13" i="14"/>
  <c r="V14" i="14"/>
  <c r="W14" i="14"/>
  <c r="V15" i="14"/>
  <c r="W15" i="14"/>
  <c r="V16" i="14"/>
  <c r="W16" i="14"/>
  <c r="W8" i="14"/>
  <c r="V8" i="14"/>
  <c r="V17" i="14" s="1"/>
  <c r="V9" i="12"/>
  <c r="W9" i="12"/>
  <c r="V10" i="12"/>
  <c r="W10" i="12"/>
  <c r="V11" i="12"/>
  <c r="W11" i="12"/>
  <c r="V12" i="12"/>
  <c r="W12" i="12"/>
  <c r="V13" i="12"/>
  <c r="W13" i="12"/>
  <c r="V14" i="12"/>
  <c r="W14" i="12"/>
  <c r="V15" i="12"/>
  <c r="W15" i="12"/>
  <c r="V16" i="12"/>
  <c r="W16" i="12"/>
  <c r="W8" i="12"/>
  <c r="W17" i="12" s="1"/>
  <c r="P16" i="2"/>
  <c r="S16" i="2" s="1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V131" i="2"/>
  <c r="W131" i="2"/>
  <c r="V132" i="2"/>
  <c r="W132" i="2"/>
  <c r="V133" i="2"/>
  <c r="W133" i="2"/>
  <c r="V134" i="2"/>
  <c r="W134" i="2"/>
  <c r="V135" i="2"/>
  <c r="W135" i="2"/>
  <c r="V136" i="2"/>
  <c r="W136" i="2"/>
  <c r="V137" i="2"/>
  <c r="W137" i="2"/>
  <c r="V138" i="2"/>
  <c r="W138" i="2"/>
  <c r="V8" i="2"/>
  <c r="W8" i="2"/>
  <c r="AD45" i="15"/>
  <c r="AD97" i="15"/>
  <c r="W107" i="15"/>
  <c r="M96" i="15"/>
  <c r="P96" i="15" s="1"/>
  <c r="M94" i="15"/>
  <c r="P94" i="15" s="1"/>
  <c r="AD96" i="15"/>
  <c r="AC96" i="15"/>
  <c r="W96" i="15"/>
  <c r="R96" i="15"/>
  <c r="T96" i="15"/>
  <c r="O96" i="15"/>
  <c r="AD95" i="15"/>
  <c r="AC95" i="15"/>
  <c r="W95" i="15"/>
  <c r="R95" i="15"/>
  <c r="O95" i="15"/>
  <c r="AD94" i="15"/>
  <c r="AC94" i="15"/>
  <c r="W94" i="15"/>
  <c r="R94" i="15"/>
  <c r="S94" i="15" s="1"/>
  <c r="O94" i="15"/>
  <c r="AD93" i="15"/>
  <c r="AC93" i="15"/>
  <c r="W93" i="15"/>
  <c r="R93" i="15"/>
  <c r="Y93" i="15" s="1"/>
  <c r="O93" i="15"/>
  <c r="AD92" i="15"/>
  <c r="AC92" i="15"/>
  <c r="W92" i="15"/>
  <c r="R92" i="15"/>
  <c r="S92" i="15"/>
  <c r="O92" i="15"/>
  <c r="AD91" i="15"/>
  <c r="AC91" i="15"/>
  <c r="W91" i="15"/>
  <c r="R91" i="15"/>
  <c r="U91" i="15" s="1"/>
  <c r="O91" i="15"/>
  <c r="AD90" i="15"/>
  <c r="AC90" i="15"/>
  <c r="W90" i="15"/>
  <c r="R90" i="15"/>
  <c r="Y90" i="15" s="1"/>
  <c r="O90" i="15"/>
  <c r="AD89" i="15"/>
  <c r="AC89" i="15"/>
  <c r="W89" i="15"/>
  <c r="R89" i="15"/>
  <c r="T89" i="15" s="1"/>
  <c r="O89" i="15"/>
  <c r="AD88" i="15"/>
  <c r="AC88" i="15"/>
  <c r="W88" i="15"/>
  <c r="R88" i="15"/>
  <c r="U88" i="15"/>
  <c r="O88" i="15"/>
  <c r="AD87" i="15"/>
  <c r="AC87" i="15"/>
  <c r="W87" i="15"/>
  <c r="R87" i="15"/>
  <c r="X87" i="15" s="1"/>
  <c r="O87" i="15"/>
  <c r="AD86" i="15"/>
  <c r="AC86" i="15"/>
  <c r="W86" i="15"/>
  <c r="R86" i="15"/>
  <c r="T86" i="15" s="1"/>
  <c r="O86" i="15"/>
  <c r="W82" i="15"/>
  <c r="AC97" i="15"/>
  <c r="AC109" i="15"/>
  <c r="V42" i="3"/>
  <c r="F43" i="4"/>
  <c r="F38" i="4"/>
  <c r="F37" i="4"/>
  <c r="AA47" i="2"/>
  <c r="U61" i="2"/>
  <c r="F31" i="4"/>
  <c r="B4" i="7"/>
  <c r="B5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C24" i="7"/>
  <c r="B69" i="5" s="1"/>
  <c r="G158" i="5" s="1"/>
  <c r="P9" i="3"/>
  <c r="Q9" i="3"/>
  <c r="W9" i="3" s="1"/>
  <c r="V9" i="3"/>
  <c r="AB9" i="3"/>
  <c r="AC9" i="3"/>
  <c r="P10" i="3"/>
  <c r="Q10" i="3"/>
  <c r="R10" i="3"/>
  <c r="V10" i="3"/>
  <c r="AB10" i="3"/>
  <c r="AC10" i="3"/>
  <c r="P11" i="3"/>
  <c r="Q11" i="3"/>
  <c r="X11" i="3" s="1"/>
  <c r="R11" i="3"/>
  <c r="V11" i="3"/>
  <c r="AB11" i="3"/>
  <c r="AC11" i="3"/>
  <c r="P12" i="3"/>
  <c r="Q12" i="3"/>
  <c r="T12" i="3" s="1"/>
  <c r="V12" i="3"/>
  <c r="AB12" i="3"/>
  <c r="AC12" i="3"/>
  <c r="P13" i="3"/>
  <c r="Q13" i="3"/>
  <c r="S13" i="3"/>
  <c r="V13" i="3"/>
  <c r="AB13" i="3"/>
  <c r="AC13" i="3"/>
  <c r="P14" i="3"/>
  <c r="Q14" i="3"/>
  <c r="T14" i="3" s="1"/>
  <c r="V14" i="3"/>
  <c r="AB14" i="3"/>
  <c r="AC14" i="3"/>
  <c r="P15" i="3"/>
  <c r="Q15" i="3"/>
  <c r="S15" i="3" s="1"/>
  <c r="V15" i="3"/>
  <c r="AB15" i="3"/>
  <c r="AC15" i="3"/>
  <c r="P16" i="3"/>
  <c r="Q16" i="3"/>
  <c r="V16" i="3"/>
  <c r="AB16" i="3"/>
  <c r="AC16" i="3"/>
  <c r="P17" i="3"/>
  <c r="Q17" i="3"/>
  <c r="V17" i="3"/>
  <c r="AB17" i="3"/>
  <c r="AC17" i="3"/>
  <c r="P18" i="3"/>
  <c r="Q18" i="3"/>
  <c r="X18" i="3"/>
  <c r="V18" i="3"/>
  <c r="AB18" i="3"/>
  <c r="AC18" i="3"/>
  <c r="P19" i="3"/>
  <c r="Q19" i="3"/>
  <c r="W19" i="3" s="1"/>
  <c r="V19" i="3"/>
  <c r="AB19" i="3"/>
  <c r="AC19" i="3"/>
  <c r="P20" i="3"/>
  <c r="Q20" i="3"/>
  <c r="U20" i="3"/>
  <c r="V20" i="3"/>
  <c r="AB20" i="3"/>
  <c r="AC20" i="3"/>
  <c r="P21" i="3"/>
  <c r="Q21" i="3"/>
  <c r="T21" i="3"/>
  <c r="P22" i="3"/>
  <c r="Q22" i="3"/>
  <c r="V22" i="3"/>
  <c r="AB22" i="3"/>
  <c r="AC22" i="3"/>
  <c r="P23" i="3"/>
  <c r="Q23" i="3"/>
  <c r="X23" i="3"/>
  <c r="V23" i="3"/>
  <c r="AB23" i="3"/>
  <c r="AC23" i="3"/>
  <c r="P24" i="3"/>
  <c r="Q24" i="3"/>
  <c r="V24" i="3"/>
  <c r="AB24" i="3"/>
  <c r="AC24" i="3"/>
  <c r="P25" i="3"/>
  <c r="Q25" i="3"/>
  <c r="S25" i="3" s="1"/>
  <c r="V25" i="3"/>
  <c r="AB25" i="3"/>
  <c r="AC25" i="3"/>
  <c r="P26" i="3"/>
  <c r="Q26" i="3"/>
  <c r="V26" i="3"/>
  <c r="AB26" i="3"/>
  <c r="AC26" i="3"/>
  <c r="P27" i="3"/>
  <c r="Q27" i="3"/>
  <c r="V27" i="3"/>
  <c r="AB27" i="3"/>
  <c r="AC27" i="3"/>
  <c r="P28" i="3"/>
  <c r="Q28" i="3"/>
  <c r="R28" i="3" s="1"/>
  <c r="V28" i="3"/>
  <c r="AB28" i="3"/>
  <c r="AC28" i="3"/>
  <c r="P29" i="3"/>
  <c r="Q29" i="3"/>
  <c r="T29" i="3" s="1"/>
  <c r="P30" i="3"/>
  <c r="Q30" i="3"/>
  <c r="V30" i="3"/>
  <c r="AB30" i="3"/>
  <c r="AC30" i="3"/>
  <c r="P31" i="3"/>
  <c r="Q31" i="3"/>
  <c r="V31" i="3"/>
  <c r="AB31" i="3"/>
  <c r="AC31" i="3"/>
  <c r="P32" i="3"/>
  <c r="Q32" i="3"/>
  <c r="W32" i="3"/>
  <c r="V32" i="3"/>
  <c r="AB32" i="3"/>
  <c r="AC32" i="3"/>
  <c r="P33" i="3"/>
  <c r="Q33" i="3"/>
  <c r="R33" i="3" s="1"/>
  <c r="V33" i="3"/>
  <c r="AB33" i="3"/>
  <c r="AC33" i="3"/>
  <c r="AC49" i="3" s="1"/>
  <c r="P34" i="3"/>
  <c r="Q34" i="3"/>
  <c r="S34" i="3" s="1"/>
  <c r="V34" i="3"/>
  <c r="AB34" i="3"/>
  <c r="AC34" i="3"/>
  <c r="P35" i="3"/>
  <c r="Q35" i="3"/>
  <c r="X35" i="3" s="1"/>
  <c r="V35" i="3"/>
  <c r="AB35" i="3"/>
  <c r="AC35" i="3"/>
  <c r="P36" i="3"/>
  <c r="Q36" i="3"/>
  <c r="R36" i="3" s="1"/>
  <c r="V36" i="3"/>
  <c r="AB36" i="3"/>
  <c r="AC36" i="3"/>
  <c r="P37" i="3"/>
  <c r="Q37" i="3"/>
  <c r="T37" i="3" s="1"/>
  <c r="V37" i="3"/>
  <c r="AB37" i="3"/>
  <c r="AC37" i="3"/>
  <c r="P38" i="3"/>
  <c r="Q38" i="3"/>
  <c r="U38" i="3" s="1"/>
  <c r="V38" i="3"/>
  <c r="AB38" i="3"/>
  <c r="AC38" i="3"/>
  <c r="P39" i="3"/>
  <c r="Q39" i="3"/>
  <c r="U39" i="3" s="1"/>
  <c r="V39" i="3"/>
  <c r="AB39" i="3"/>
  <c r="AC39" i="3"/>
  <c r="P40" i="3"/>
  <c r="Q40" i="3"/>
  <c r="V40" i="3"/>
  <c r="AB40" i="3"/>
  <c r="AC40" i="3"/>
  <c r="Q41" i="3"/>
  <c r="X41" i="3"/>
  <c r="V41" i="3"/>
  <c r="AB41" i="3"/>
  <c r="AC41" i="3"/>
  <c r="P42" i="3"/>
  <c r="Q42" i="3"/>
  <c r="X42" i="3" s="1"/>
  <c r="AB42" i="3"/>
  <c r="P43" i="3"/>
  <c r="Q43" i="3"/>
  <c r="T43" i="3" s="1"/>
  <c r="X43" i="3"/>
  <c r="V43" i="3"/>
  <c r="AB43" i="3"/>
  <c r="AC43" i="3"/>
  <c r="P44" i="3"/>
  <c r="Q44" i="3"/>
  <c r="X44" i="3" s="1"/>
  <c r="V44" i="3"/>
  <c r="AB44" i="3"/>
  <c r="AC44" i="3"/>
  <c r="P45" i="3"/>
  <c r="Q45" i="3"/>
  <c r="R45" i="3"/>
  <c r="V45" i="3"/>
  <c r="AB45" i="3"/>
  <c r="AC45" i="3"/>
  <c r="P46" i="3"/>
  <c r="Q46" i="3"/>
  <c r="V46" i="3"/>
  <c r="AB46" i="3"/>
  <c r="AC46" i="3"/>
  <c r="P47" i="3"/>
  <c r="Q47" i="3"/>
  <c r="R47" i="3"/>
  <c r="V47" i="3"/>
  <c r="AB47" i="3"/>
  <c r="AC47" i="3"/>
  <c r="P48" i="3"/>
  <c r="Q48" i="3"/>
  <c r="T48" i="3"/>
  <c r="V48" i="3"/>
  <c r="AB48" i="3"/>
  <c r="AC48" i="3"/>
  <c r="D49" i="3"/>
  <c r="O8" i="2"/>
  <c r="P8" i="2"/>
  <c r="Q8" i="2"/>
  <c r="U8" i="2"/>
  <c r="AA8" i="2"/>
  <c r="AB8" i="2"/>
  <c r="O9" i="2"/>
  <c r="P9" i="2"/>
  <c r="T9" i="2"/>
  <c r="U9" i="2"/>
  <c r="AA9" i="2"/>
  <c r="AB9" i="2"/>
  <c r="O10" i="2"/>
  <c r="P10" i="2"/>
  <c r="Q10" i="2" s="1"/>
  <c r="U10" i="2"/>
  <c r="AA10" i="2"/>
  <c r="AB10" i="2"/>
  <c r="O11" i="2"/>
  <c r="P11" i="2"/>
  <c r="U11" i="2"/>
  <c r="AA11" i="2"/>
  <c r="AB11" i="2"/>
  <c r="O12" i="2"/>
  <c r="P12" i="2"/>
  <c r="U12" i="2"/>
  <c r="AA12" i="2"/>
  <c r="AB12" i="2"/>
  <c r="O13" i="2"/>
  <c r="P13" i="2"/>
  <c r="Q13" i="2" s="1"/>
  <c r="U13" i="2"/>
  <c r="AA13" i="2"/>
  <c r="AB13" i="2"/>
  <c r="O14" i="2"/>
  <c r="P14" i="2"/>
  <c r="T14" i="2" s="1"/>
  <c r="U14" i="2"/>
  <c r="AA14" i="2"/>
  <c r="AB14" i="2"/>
  <c r="O15" i="2"/>
  <c r="P15" i="2"/>
  <c r="R15" i="2"/>
  <c r="U15" i="2"/>
  <c r="AA15" i="2"/>
  <c r="AB15" i="2"/>
  <c r="O16" i="2"/>
  <c r="U16" i="2"/>
  <c r="AA16" i="2"/>
  <c r="AB16" i="2"/>
  <c r="O17" i="2"/>
  <c r="P17" i="2"/>
  <c r="R17" i="2" s="1"/>
  <c r="U17" i="2"/>
  <c r="AA17" i="2"/>
  <c r="AB17" i="2"/>
  <c r="O18" i="2"/>
  <c r="P18" i="2"/>
  <c r="R18" i="2"/>
  <c r="U18" i="2"/>
  <c r="AA18" i="2"/>
  <c r="AB18" i="2"/>
  <c r="O19" i="2"/>
  <c r="P19" i="2"/>
  <c r="T19" i="2" s="1"/>
  <c r="S19" i="2"/>
  <c r="U19" i="2"/>
  <c r="AA19" i="2"/>
  <c r="AB19" i="2"/>
  <c r="O20" i="2"/>
  <c r="P20" i="2"/>
  <c r="R20" i="2" s="1"/>
  <c r="U20" i="2"/>
  <c r="AA20" i="2"/>
  <c r="AB20" i="2"/>
  <c r="O21" i="2"/>
  <c r="P21" i="2"/>
  <c r="S21" i="2"/>
  <c r="U21" i="2"/>
  <c r="AA21" i="2"/>
  <c r="AB21" i="2"/>
  <c r="O22" i="2"/>
  <c r="P22" i="2"/>
  <c r="T22" i="2"/>
  <c r="U22" i="2"/>
  <c r="AA22" i="2"/>
  <c r="AB22" i="2"/>
  <c r="O23" i="2"/>
  <c r="P23" i="2"/>
  <c r="U23" i="2"/>
  <c r="AA23" i="2"/>
  <c r="AB23" i="2"/>
  <c r="O24" i="2"/>
  <c r="P24" i="2"/>
  <c r="Q24" i="2"/>
  <c r="U24" i="2"/>
  <c r="AA24" i="2"/>
  <c r="AB24" i="2"/>
  <c r="O25" i="2"/>
  <c r="P25" i="2"/>
  <c r="T25" i="2" s="1"/>
  <c r="U25" i="2"/>
  <c r="AA25" i="2"/>
  <c r="AB25" i="2"/>
  <c r="O26" i="2"/>
  <c r="P26" i="2"/>
  <c r="U26" i="2"/>
  <c r="AA26" i="2"/>
  <c r="AB26" i="2"/>
  <c r="O27" i="2"/>
  <c r="P27" i="2"/>
  <c r="R27" i="2" s="1"/>
  <c r="U27" i="2"/>
  <c r="AA27" i="2"/>
  <c r="AB27" i="2"/>
  <c r="O28" i="2"/>
  <c r="P28" i="2"/>
  <c r="S28" i="2" s="1"/>
  <c r="U28" i="2"/>
  <c r="AA28" i="2"/>
  <c r="AB28" i="2"/>
  <c r="O29" i="2"/>
  <c r="P29" i="2"/>
  <c r="U29" i="2"/>
  <c r="AA29" i="2"/>
  <c r="AB29" i="2"/>
  <c r="O30" i="2"/>
  <c r="P30" i="2"/>
  <c r="T30" i="2"/>
  <c r="U30" i="2"/>
  <c r="AA30" i="2"/>
  <c r="AB30" i="2"/>
  <c r="O31" i="2"/>
  <c r="P31" i="2"/>
  <c r="T31" i="2"/>
  <c r="U31" i="2"/>
  <c r="AA31" i="2"/>
  <c r="AB31" i="2"/>
  <c r="O32" i="2"/>
  <c r="P32" i="2"/>
  <c r="U32" i="2"/>
  <c r="AA32" i="2"/>
  <c r="AB32" i="2"/>
  <c r="O33" i="2"/>
  <c r="P33" i="2"/>
  <c r="R33" i="2"/>
  <c r="U33" i="2"/>
  <c r="AA33" i="2"/>
  <c r="AB33" i="2"/>
  <c r="O34" i="2"/>
  <c r="P34" i="2"/>
  <c r="Q34" i="2" s="1"/>
  <c r="U34" i="2"/>
  <c r="AA34" i="2"/>
  <c r="AB34" i="2"/>
  <c r="O35" i="2"/>
  <c r="P35" i="2"/>
  <c r="T35" i="2" s="1"/>
  <c r="R35" i="2"/>
  <c r="U35" i="2"/>
  <c r="AA35" i="2"/>
  <c r="AB35" i="2"/>
  <c r="O36" i="2"/>
  <c r="P36" i="2"/>
  <c r="R36" i="2" s="1"/>
  <c r="U36" i="2"/>
  <c r="AA36" i="2"/>
  <c r="AB36" i="2"/>
  <c r="O37" i="2"/>
  <c r="P37" i="2"/>
  <c r="Q37" i="2" s="1"/>
  <c r="U37" i="2"/>
  <c r="AA37" i="2"/>
  <c r="AB37" i="2"/>
  <c r="O38" i="2"/>
  <c r="P38" i="2"/>
  <c r="S38" i="2"/>
  <c r="U38" i="2"/>
  <c r="AA38" i="2"/>
  <c r="AB38" i="2"/>
  <c r="O39" i="2"/>
  <c r="P39" i="2"/>
  <c r="U39" i="2"/>
  <c r="AA39" i="2"/>
  <c r="AB39" i="2"/>
  <c r="O40" i="2"/>
  <c r="P40" i="2"/>
  <c r="S40" i="2"/>
  <c r="U40" i="2"/>
  <c r="AA40" i="2"/>
  <c r="AB40" i="2"/>
  <c r="O41" i="2"/>
  <c r="P41" i="2"/>
  <c r="U41" i="2"/>
  <c r="AA41" i="2"/>
  <c r="AB41" i="2"/>
  <c r="O42" i="2"/>
  <c r="P42" i="2"/>
  <c r="Q42" i="2"/>
  <c r="R42" i="2"/>
  <c r="U42" i="2"/>
  <c r="AA42" i="2"/>
  <c r="AB42" i="2"/>
  <c r="O43" i="2"/>
  <c r="P43" i="2"/>
  <c r="U43" i="2"/>
  <c r="AA43" i="2"/>
  <c r="AB43" i="2"/>
  <c r="O44" i="2"/>
  <c r="P44" i="2"/>
  <c r="U44" i="2"/>
  <c r="AA44" i="2"/>
  <c r="AB44" i="2"/>
  <c r="O45" i="2"/>
  <c r="P45" i="2"/>
  <c r="U45" i="2"/>
  <c r="AA45" i="2"/>
  <c r="AB45" i="2"/>
  <c r="O46" i="2"/>
  <c r="P46" i="2"/>
  <c r="U46" i="2"/>
  <c r="AA46" i="2"/>
  <c r="AB46" i="2"/>
  <c r="O47" i="2"/>
  <c r="P47" i="2"/>
  <c r="O48" i="2"/>
  <c r="P48" i="2"/>
  <c r="Q48" i="2" s="1"/>
  <c r="U48" i="2"/>
  <c r="AA48" i="2"/>
  <c r="AB48" i="2"/>
  <c r="O49" i="2"/>
  <c r="P49" i="2"/>
  <c r="U49" i="2"/>
  <c r="AA49" i="2"/>
  <c r="AB49" i="2"/>
  <c r="O50" i="2"/>
  <c r="P50" i="2"/>
  <c r="Q50" i="2" s="1"/>
  <c r="U50" i="2"/>
  <c r="AA50" i="2"/>
  <c r="AB50" i="2"/>
  <c r="O51" i="2"/>
  <c r="P51" i="2"/>
  <c r="Q51" i="2" s="1"/>
  <c r="U51" i="2"/>
  <c r="AA51" i="2"/>
  <c r="AB51" i="2"/>
  <c r="O52" i="2"/>
  <c r="P52" i="2"/>
  <c r="Q52" i="2" s="1"/>
  <c r="R52" i="2"/>
  <c r="U52" i="2"/>
  <c r="AA52" i="2"/>
  <c r="AB52" i="2"/>
  <c r="O53" i="2"/>
  <c r="P53" i="2"/>
  <c r="R53" i="2" s="1"/>
  <c r="U53" i="2"/>
  <c r="AA53" i="2"/>
  <c r="AB53" i="2"/>
  <c r="O54" i="2"/>
  <c r="P54" i="2"/>
  <c r="S54" i="2"/>
  <c r="U54" i="2"/>
  <c r="AA54" i="2"/>
  <c r="AB54" i="2"/>
  <c r="O55" i="2"/>
  <c r="P55" i="2"/>
  <c r="R55" i="2"/>
  <c r="U55" i="2"/>
  <c r="AA55" i="2"/>
  <c r="AB55" i="2"/>
  <c r="O56" i="2"/>
  <c r="P56" i="2"/>
  <c r="Q56" i="2" s="1"/>
  <c r="U56" i="2"/>
  <c r="AA56" i="2"/>
  <c r="AB56" i="2"/>
  <c r="O57" i="2"/>
  <c r="P57" i="2"/>
  <c r="R57" i="2" s="1"/>
  <c r="U57" i="2"/>
  <c r="AA57" i="2"/>
  <c r="AB57" i="2"/>
  <c r="O58" i="2"/>
  <c r="P58" i="2"/>
  <c r="R58" i="2"/>
  <c r="U58" i="2"/>
  <c r="AA58" i="2"/>
  <c r="AB58" i="2"/>
  <c r="O59" i="2"/>
  <c r="P59" i="2"/>
  <c r="T59" i="2"/>
  <c r="U59" i="2"/>
  <c r="AB59" i="2"/>
  <c r="O60" i="2"/>
  <c r="P60" i="2"/>
  <c r="R60" i="2"/>
  <c r="U60" i="2"/>
  <c r="AA60" i="2"/>
  <c r="AB60" i="2"/>
  <c r="O61" i="2"/>
  <c r="P61" i="2"/>
  <c r="AA61" i="2"/>
  <c r="O62" i="2"/>
  <c r="P62" i="2"/>
  <c r="U62" i="2"/>
  <c r="AA62" i="2"/>
  <c r="AB62" i="2"/>
  <c r="O63" i="2"/>
  <c r="P63" i="2"/>
  <c r="S63" i="2"/>
  <c r="U63" i="2"/>
  <c r="AA63" i="2"/>
  <c r="AB63" i="2"/>
  <c r="O64" i="2"/>
  <c r="P64" i="2"/>
  <c r="U64" i="2"/>
  <c r="AA64" i="2"/>
  <c r="AB64" i="2"/>
  <c r="O65" i="2"/>
  <c r="P65" i="2"/>
  <c r="T65" i="2" s="1"/>
  <c r="R65" i="2"/>
  <c r="U65" i="2"/>
  <c r="AA65" i="2"/>
  <c r="AB65" i="2"/>
  <c r="O66" i="2"/>
  <c r="P66" i="2"/>
  <c r="S66" i="2" s="1"/>
  <c r="U66" i="2"/>
  <c r="AA66" i="2"/>
  <c r="AB66" i="2"/>
  <c r="O67" i="2"/>
  <c r="P67" i="2"/>
  <c r="Q67" i="2" s="1"/>
  <c r="U67" i="2"/>
  <c r="AA67" i="2"/>
  <c r="AB67" i="2"/>
  <c r="O68" i="2"/>
  <c r="P68" i="2"/>
  <c r="Q68" i="2"/>
  <c r="S68" i="2"/>
  <c r="U68" i="2"/>
  <c r="AA68" i="2"/>
  <c r="AB68" i="2"/>
  <c r="O69" i="2"/>
  <c r="P69" i="2"/>
  <c r="U69" i="2"/>
  <c r="AA69" i="2"/>
  <c r="AB69" i="2"/>
  <c r="O70" i="2"/>
  <c r="P70" i="2"/>
  <c r="R70" i="2" s="1"/>
  <c r="U70" i="2"/>
  <c r="AA70" i="2"/>
  <c r="AB70" i="2"/>
  <c r="O71" i="2"/>
  <c r="P71" i="2"/>
  <c r="U71" i="2"/>
  <c r="AA71" i="2"/>
  <c r="AB71" i="2"/>
  <c r="O72" i="2"/>
  <c r="P72" i="2"/>
  <c r="S72" i="2"/>
  <c r="U72" i="2"/>
  <c r="AA72" i="2"/>
  <c r="AB72" i="2"/>
  <c r="O73" i="2"/>
  <c r="P73" i="2"/>
  <c r="U73" i="2"/>
  <c r="AA73" i="2"/>
  <c r="AB73" i="2"/>
  <c r="O74" i="2"/>
  <c r="P74" i="2"/>
  <c r="T74" i="2"/>
  <c r="U74" i="2"/>
  <c r="AA74" i="2"/>
  <c r="AB74" i="2"/>
  <c r="O75" i="2"/>
  <c r="P75" i="2"/>
  <c r="R75" i="2"/>
  <c r="U75" i="2"/>
  <c r="AA75" i="2"/>
  <c r="AB75" i="2"/>
  <c r="O76" i="2"/>
  <c r="P76" i="2"/>
  <c r="U76" i="2"/>
  <c r="AA76" i="2"/>
  <c r="AB76" i="2"/>
  <c r="O77" i="2"/>
  <c r="P77" i="2"/>
  <c r="T77" i="2" s="1"/>
  <c r="U77" i="2"/>
  <c r="AA77" i="2"/>
  <c r="AB77" i="2"/>
  <c r="O78" i="2"/>
  <c r="P78" i="2"/>
  <c r="U78" i="2"/>
  <c r="AA78" i="2"/>
  <c r="AB78" i="2"/>
  <c r="O79" i="2"/>
  <c r="P79" i="2"/>
  <c r="S79" i="2" s="1"/>
  <c r="U79" i="2"/>
  <c r="AA79" i="2"/>
  <c r="AB79" i="2"/>
  <c r="O80" i="2"/>
  <c r="P80" i="2"/>
  <c r="Q80" i="2" s="1"/>
  <c r="U80" i="2"/>
  <c r="AA80" i="2"/>
  <c r="AB80" i="2"/>
  <c r="O81" i="2"/>
  <c r="P81" i="2"/>
  <c r="U81" i="2"/>
  <c r="AA81" i="2"/>
  <c r="AB81" i="2"/>
  <c r="O82" i="2"/>
  <c r="P82" i="2"/>
  <c r="Q82" i="2"/>
  <c r="U82" i="2"/>
  <c r="AA82" i="2"/>
  <c r="AB82" i="2"/>
  <c r="O83" i="2"/>
  <c r="P83" i="2"/>
  <c r="Q83" i="2"/>
  <c r="U83" i="2"/>
  <c r="AA83" i="2"/>
  <c r="AB83" i="2"/>
  <c r="O84" i="2"/>
  <c r="P84" i="2"/>
  <c r="T84" i="2" s="1"/>
  <c r="U84" i="2"/>
  <c r="AA84" i="2"/>
  <c r="AB84" i="2"/>
  <c r="O85" i="2"/>
  <c r="P85" i="2"/>
  <c r="U85" i="2"/>
  <c r="AA85" i="2"/>
  <c r="AB85" i="2"/>
  <c r="O86" i="2"/>
  <c r="P86" i="2"/>
  <c r="U86" i="2"/>
  <c r="AA86" i="2"/>
  <c r="AB86" i="2"/>
  <c r="O87" i="2"/>
  <c r="P87" i="2"/>
  <c r="Q87" i="2" s="1"/>
  <c r="U87" i="2"/>
  <c r="AA87" i="2"/>
  <c r="AB87" i="2"/>
  <c r="O88" i="2"/>
  <c r="P88" i="2"/>
  <c r="T88" i="2" s="1"/>
  <c r="U88" i="2"/>
  <c r="AA88" i="2"/>
  <c r="AB88" i="2"/>
  <c r="O89" i="2"/>
  <c r="P89" i="2"/>
  <c r="U89" i="2"/>
  <c r="AA89" i="2"/>
  <c r="AB89" i="2"/>
  <c r="O90" i="2"/>
  <c r="P90" i="2"/>
  <c r="Q90" i="2"/>
  <c r="S90" i="2"/>
  <c r="U90" i="2"/>
  <c r="AA90" i="2"/>
  <c r="AB90" i="2"/>
  <c r="O91" i="2"/>
  <c r="P91" i="2"/>
  <c r="U91" i="2"/>
  <c r="AA91" i="2"/>
  <c r="AB91" i="2"/>
  <c r="O92" i="2"/>
  <c r="P92" i="2"/>
  <c r="R92" i="2" s="1"/>
  <c r="U92" i="2"/>
  <c r="AA92" i="2"/>
  <c r="AB92" i="2"/>
  <c r="O93" i="2"/>
  <c r="P93" i="2"/>
  <c r="Q93" i="2" s="1"/>
  <c r="U93" i="2"/>
  <c r="AA93" i="2"/>
  <c r="AB93" i="2"/>
  <c r="O94" i="2"/>
  <c r="P94" i="2"/>
  <c r="Q94" i="2"/>
  <c r="U94" i="2"/>
  <c r="AA94" i="2"/>
  <c r="AB94" i="2"/>
  <c r="O95" i="2"/>
  <c r="P95" i="2"/>
  <c r="S95" i="2"/>
  <c r="U95" i="2"/>
  <c r="AA95" i="2"/>
  <c r="AB95" i="2"/>
  <c r="O96" i="2"/>
  <c r="P96" i="2"/>
  <c r="R96" i="2" s="1"/>
  <c r="U96" i="2"/>
  <c r="AA96" i="2"/>
  <c r="AB96" i="2"/>
  <c r="O97" i="2"/>
  <c r="P97" i="2"/>
  <c r="T97" i="2" s="1"/>
  <c r="U97" i="2"/>
  <c r="AA97" i="2"/>
  <c r="AB97" i="2"/>
  <c r="O98" i="2"/>
  <c r="P98" i="2"/>
  <c r="U98" i="2"/>
  <c r="AA98" i="2"/>
  <c r="AB98" i="2"/>
  <c r="O99" i="2"/>
  <c r="P99" i="2"/>
  <c r="T99" i="2" s="1"/>
  <c r="U99" i="2"/>
  <c r="AA99" i="2"/>
  <c r="AB99" i="2"/>
  <c r="O100" i="2"/>
  <c r="P100" i="2"/>
  <c r="S100" i="2"/>
  <c r="U100" i="2"/>
  <c r="AA100" i="2"/>
  <c r="AB100" i="2"/>
  <c r="O101" i="2"/>
  <c r="P101" i="2"/>
  <c r="T101" i="2"/>
  <c r="U101" i="2"/>
  <c r="AA101" i="2"/>
  <c r="AB101" i="2"/>
  <c r="O102" i="2"/>
  <c r="P102" i="2"/>
  <c r="U102" i="2"/>
  <c r="AA102" i="2"/>
  <c r="AB102" i="2"/>
  <c r="O103" i="2"/>
  <c r="P103" i="2"/>
  <c r="U103" i="2"/>
  <c r="AA103" i="2"/>
  <c r="AB103" i="2"/>
  <c r="O104" i="2"/>
  <c r="P104" i="2"/>
  <c r="S104" i="2"/>
  <c r="U104" i="2"/>
  <c r="AA104" i="2"/>
  <c r="AB104" i="2"/>
  <c r="O105" i="2"/>
  <c r="P105" i="2"/>
  <c r="S105" i="2"/>
  <c r="U105" i="2"/>
  <c r="AA105" i="2"/>
  <c r="AB105" i="2"/>
  <c r="O106" i="2"/>
  <c r="P106" i="2"/>
  <c r="S106" i="2" s="1"/>
  <c r="U106" i="2"/>
  <c r="AA106" i="2"/>
  <c r="AB106" i="2"/>
  <c r="O107" i="2"/>
  <c r="P107" i="2"/>
  <c r="Q107" i="2" s="1"/>
  <c r="U107" i="2"/>
  <c r="AA107" i="2"/>
  <c r="AB107" i="2"/>
  <c r="O108" i="2"/>
  <c r="P108" i="2"/>
  <c r="T108" i="2"/>
  <c r="U108" i="2"/>
  <c r="AA108" i="2"/>
  <c r="AB108" i="2"/>
  <c r="O109" i="2"/>
  <c r="P109" i="2"/>
  <c r="U109" i="2"/>
  <c r="AA109" i="2"/>
  <c r="AB109" i="2"/>
  <c r="O110" i="2"/>
  <c r="P110" i="2"/>
  <c r="U110" i="2"/>
  <c r="AA110" i="2"/>
  <c r="AB110" i="2"/>
  <c r="O111" i="2"/>
  <c r="P111" i="2"/>
  <c r="Q111" i="2" s="1"/>
  <c r="S111" i="2"/>
  <c r="U111" i="2"/>
  <c r="AA111" i="2"/>
  <c r="AB111" i="2"/>
  <c r="O112" i="2"/>
  <c r="P112" i="2"/>
  <c r="U112" i="2"/>
  <c r="AA112" i="2"/>
  <c r="AB112" i="2"/>
  <c r="O113" i="2"/>
  <c r="P113" i="2"/>
  <c r="U113" i="2"/>
  <c r="AA113" i="2"/>
  <c r="AB113" i="2"/>
  <c r="O114" i="2"/>
  <c r="P114" i="2"/>
  <c r="Q114" i="2" s="1"/>
  <c r="U114" i="2"/>
  <c r="AA114" i="2"/>
  <c r="AB114" i="2"/>
  <c r="O115" i="2"/>
  <c r="P115" i="2"/>
  <c r="U115" i="2"/>
  <c r="AA115" i="2"/>
  <c r="AB115" i="2"/>
  <c r="O116" i="2"/>
  <c r="P116" i="2"/>
  <c r="U116" i="2"/>
  <c r="AA116" i="2"/>
  <c r="AB116" i="2"/>
  <c r="O117" i="2"/>
  <c r="P117" i="2"/>
  <c r="S117" i="2" s="1"/>
  <c r="U117" i="2"/>
  <c r="AA117" i="2"/>
  <c r="AB117" i="2"/>
  <c r="O118" i="2"/>
  <c r="P118" i="2"/>
  <c r="U118" i="2"/>
  <c r="AA118" i="2"/>
  <c r="AB118" i="2"/>
  <c r="O119" i="2"/>
  <c r="P119" i="2"/>
  <c r="R119" i="2"/>
  <c r="U119" i="2"/>
  <c r="AA119" i="2"/>
  <c r="AB119" i="2"/>
  <c r="O120" i="2"/>
  <c r="P120" i="2"/>
  <c r="S120" i="2"/>
  <c r="U120" i="2"/>
  <c r="AA120" i="2"/>
  <c r="AB120" i="2"/>
  <c r="O121" i="2"/>
  <c r="P121" i="2"/>
  <c r="U121" i="2"/>
  <c r="AA121" i="2"/>
  <c r="AB121" i="2"/>
  <c r="O122" i="2"/>
  <c r="P122" i="2"/>
  <c r="U122" i="2"/>
  <c r="AA122" i="2"/>
  <c r="AB122" i="2"/>
  <c r="O123" i="2"/>
  <c r="P123" i="2"/>
  <c r="T123" i="2"/>
  <c r="U123" i="2"/>
  <c r="AA123" i="2"/>
  <c r="AB123" i="2"/>
  <c r="O124" i="2"/>
  <c r="P124" i="2"/>
  <c r="T124" i="2" s="1"/>
  <c r="U124" i="2"/>
  <c r="AA124" i="2"/>
  <c r="AB124" i="2"/>
  <c r="O125" i="2"/>
  <c r="P125" i="2"/>
  <c r="R125" i="2" s="1"/>
  <c r="U125" i="2"/>
  <c r="AA125" i="2"/>
  <c r="AB125" i="2"/>
  <c r="O126" i="2"/>
  <c r="P126" i="2"/>
  <c r="S126" i="2"/>
  <c r="Q126" i="2"/>
  <c r="U126" i="2"/>
  <c r="AA126" i="2"/>
  <c r="AB126" i="2"/>
  <c r="O127" i="2"/>
  <c r="P127" i="2"/>
  <c r="T127" i="2" s="1"/>
  <c r="U127" i="2"/>
  <c r="AA127" i="2"/>
  <c r="AB127" i="2"/>
  <c r="O128" i="2"/>
  <c r="P128" i="2"/>
  <c r="Q128" i="2" s="1"/>
  <c r="U128" i="2"/>
  <c r="AA128" i="2"/>
  <c r="AB128" i="2"/>
  <c r="O129" i="2"/>
  <c r="P129" i="2"/>
  <c r="R129" i="2" s="1"/>
  <c r="Q129" i="2"/>
  <c r="U129" i="2"/>
  <c r="AA129" i="2"/>
  <c r="AB129" i="2"/>
  <c r="O130" i="2"/>
  <c r="P130" i="2"/>
  <c r="U130" i="2"/>
  <c r="AA130" i="2"/>
  <c r="AB130" i="2"/>
  <c r="O131" i="2"/>
  <c r="P131" i="2"/>
  <c r="U131" i="2"/>
  <c r="AA131" i="2"/>
  <c r="AB131" i="2"/>
  <c r="O132" i="2"/>
  <c r="P132" i="2"/>
  <c r="U132" i="2"/>
  <c r="AA132" i="2"/>
  <c r="AB132" i="2"/>
  <c r="O133" i="2"/>
  <c r="P133" i="2"/>
  <c r="T133" i="2" s="1"/>
  <c r="Q133" i="2"/>
  <c r="U133" i="2"/>
  <c r="AA133" i="2"/>
  <c r="AB133" i="2"/>
  <c r="O134" i="2"/>
  <c r="P134" i="2"/>
  <c r="S134" i="2"/>
  <c r="U134" i="2"/>
  <c r="AA134" i="2"/>
  <c r="AB134" i="2"/>
  <c r="O135" i="2"/>
  <c r="P135" i="2"/>
  <c r="Q135" i="2"/>
  <c r="U135" i="2"/>
  <c r="AA135" i="2"/>
  <c r="AB135" i="2"/>
  <c r="O136" i="2"/>
  <c r="P136" i="2"/>
  <c r="T136" i="2" s="1"/>
  <c r="U136" i="2"/>
  <c r="AA136" i="2"/>
  <c r="AB136" i="2"/>
  <c r="O137" i="2"/>
  <c r="P137" i="2"/>
  <c r="Q137" i="2" s="1"/>
  <c r="U137" i="2"/>
  <c r="AA137" i="2"/>
  <c r="AB137" i="2"/>
  <c r="O138" i="2"/>
  <c r="P138" i="2"/>
  <c r="Q138" i="2"/>
  <c r="U138" i="2"/>
  <c r="AA138" i="2"/>
  <c r="AB138" i="2"/>
  <c r="P8" i="6"/>
  <c r="Q8" i="6"/>
  <c r="W8" i="6"/>
  <c r="V8" i="6"/>
  <c r="AB8" i="6"/>
  <c r="AC8" i="6"/>
  <c r="P9" i="6"/>
  <c r="Q9" i="6"/>
  <c r="X9" i="6" s="1"/>
  <c r="V9" i="6"/>
  <c r="AB9" i="6"/>
  <c r="AC9" i="6"/>
  <c r="P10" i="6"/>
  <c r="Q10" i="6"/>
  <c r="R10" i="6" s="1"/>
  <c r="V10" i="6"/>
  <c r="AB10" i="6"/>
  <c r="AC10" i="6"/>
  <c r="P11" i="6"/>
  <c r="Q11" i="6"/>
  <c r="W11" i="6"/>
  <c r="V11" i="6"/>
  <c r="AB11" i="6"/>
  <c r="AC11" i="6"/>
  <c r="P12" i="6"/>
  <c r="Q12" i="6"/>
  <c r="W12" i="6"/>
  <c r="V12" i="6"/>
  <c r="AB12" i="6"/>
  <c r="AC12" i="6"/>
  <c r="P13" i="6"/>
  <c r="Q13" i="6"/>
  <c r="U13" i="6" s="1"/>
  <c r="V13" i="6"/>
  <c r="AB13" i="6"/>
  <c r="AC13" i="6"/>
  <c r="P14" i="6"/>
  <c r="Q14" i="6"/>
  <c r="R14" i="6" s="1"/>
  <c r="V14" i="6"/>
  <c r="AB14" i="6"/>
  <c r="AC14" i="6"/>
  <c r="P15" i="6"/>
  <c r="Q15" i="6"/>
  <c r="W15" i="6"/>
  <c r="V15" i="6"/>
  <c r="AB15" i="6"/>
  <c r="AC15" i="6"/>
  <c r="P16" i="6"/>
  <c r="Q16" i="6"/>
  <c r="W16" i="6"/>
  <c r="V16" i="6"/>
  <c r="AB16" i="6"/>
  <c r="AC16" i="6"/>
  <c r="P17" i="6"/>
  <c r="Q17" i="6"/>
  <c r="V17" i="6"/>
  <c r="AB17" i="6"/>
  <c r="AC17" i="6"/>
  <c r="P18" i="6"/>
  <c r="Q18" i="6"/>
  <c r="T18" i="6"/>
  <c r="V18" i="6"/>
  <c r="AB18" i="6"/>
  <c r="AC18" i="6"/>
  <c r="P19" i="6"/>
  <c r="Q19" i="6"/>
  <c r="V19" i="6"/>
  <c r="AB19" i="6"/>
  <c r="AC19" i="6"/>
  <c r="P20" i="6"/>
  <c r="Q20" i="6"/>
  <c r="V20" i="6"/>
  <c r="AB20" i="6"/>
  <c r="AC20" i="6"/>
  <c r="P21" i="6"/>
  <c r="Q21" i="6"/>
  <c r="V21" i="6"/>
  <c r="AB21" i="6"/>
  <c r="AC21" i="6"/>
  <c r="P22" i="6"/>
  <c r="Q22" i="6"/>
  <c r="X22" i="6" s="1"/>
  <c r="V22" i="6"/>
  <c r="AB22" i="6"/>
  <c r="AC22" i="6"/>
  <c r="P23" i="6"/>
  <c r="Q23" i="6"/>
  <c r="V23" i="6"/>
  <c r="AB23" i="6"/>
  <c r="AC23" i="6"/>
  <c r="P24" i="6"/>
  <c r="Q24" i="6"/>
  <c r="U24" i="6" s="1"/>
  <c r="V24" i="6"/>
  <c r="AB24" i="6"/>
  <c r="AC24" i="6"/>
  <c r="P25" i="6"/>
  <c r="Q25" i="6"/>
  <c r="W25" i="6"/>
  <c r="V25" i="6"/>
  <c r="AB25" i="6"/>
  <c r="AC25" i="6"/>
  <c r="P26" i="6"/>
  <c r="Q26" i="6"/>
  <c r="X26" i="6"/>
  <c r="V26" i="6"/>
  <c r="AB26" i="6"/>
  <c r="AC26" i="6"/>
  <c r="P27" i="6"/>
  <c r="Q27" i="6"/>
  <c r="X27" i="6" s="1"/>
  <c r="V27" i="6"/>
  <c r="AB27" i="6"/>
  <c r="AC27" i="6"/>
  <c r="P28" i="6"/>
  <c r="Q28" i="6"/>
  <c r="U28" i="6" s="1"/>
  <c r="V28" i="6"/>
  <c r="AB28" i="6"/>
  <c r="AC28" i="6"/>
  <c r="P29" i="6"/>
  <c r="Q29" i="6"/>
  <c r="W29" i="6"/>
  <c r="V29" i="6"/>
  <c r="AB29" i="6"/>
  <c r="AC29" i="6"/>
  <c r="P30" i="6"/>
  <c r="Q30" i="6"/>
  <c r="W30" i="6"/>
  <c r="V30" i="6"/>
  <c r="AB30" i="6"/>
  <c r="AC30" i="6"/>
  <c r="P31" i="6"/>
  <c r="Q31" i="6"/>
  <c r="R31" i="6" s="1"/>
  <c r="V31" i="6"/>
  <c r="AB31" i="6"/>
  <c r="AC31" i="6"/>
  <c r="P32" i="6"/>
  <c r="Q32" i="6"/>
  <c r="R32" i="6" s="1"/>
  <c r="V32" i="6"/>
  <c r="AB32" i="6"/>
  <c r="AC32" i="6"/>
  <c r="P33" i="6"/>
  <c r="Q33" i="6"/>
  <c r="U33" i="6"/>
  <c r="V33" i="6"/>
  <c r="AB33" i="6"/>
  <c r="AC33" i="6"/>
  <c r="P34" i="6"/>
  <c r="Q34" i="6"/>
  <c r="V34" i="6"/>
  <c r="AB34" i="6"/>
  <c r="AC34" i="6"/>
  <c r="P35" i="6"/>
  <c r="Q35" i="6"/>
  <c r="S35" i="6"/>
  <c r="V35" i="6"/>
  <c r="AB35" i="6"/>
  <c r="AC35" i="6"/>
  <c r="P36" i="6"/>
  <c r="Q36" i="6"/>
  <c r="S36" i="6"/>
  <c r="V36" i="6"/>
  <c r="AB36" i="6"/>
  <c r="AC36" i="6"/>
  <c r="P37" i="6"/>
  <c r="Q37" i="6"/>
  <c r="V37" i="6"/>
  <c r="AB37" i="6"/>
  <c r="AC37" i="6"/>
  <c r="P38" i="6"/>
  <c r="Q38" i="6"/>
  <c r="V38" i="6"/>
  <c r="AB38" i="6"/>
  <c r="AC38" i="6"/>
  <c r="P39" i="6"/>
  <c r="Q39" i="6"/>
  <c r="U39" i="6"/>
  <c r="V39" i="6"/>
  <c r="AB39" i="6"/>
  <c r="AC39" i="6"/>
  <c r="P40" i="6"/>
  <c r="Q40" i="6"/>
  <c r="W40" i="6" s="1"/>
  <c r="V40" i="6"/>
  <c r="AB40" i="6"/>
  <c r="AC40" i="6"/>
  <c r="P41" i="6"/>
  <c r="Q41" i="6"/>
  <c r="V41" i="6"/>
  <c r="AB41" i="6"/>
  <c r="AC41" i="6"/>
  <c r="P42" i="6"/>
  <c r="Q42" i="6"/>
  <c r="V42" i="6"/>
  <c r="AB42" i="6"/>
  <c r="AC42" i="6"/>
  <c r="P43" i="6"/>
  <c r="Q43" i="6"/>
  <c r="V43" i="6"/>
  <c r="AB43" i="6"/>
  <c r="AC43" i="6"/>
  <c r="P44" i="6"/>
  <c r="Q44" i="6"/>
  <c r="X44" i="6" s="1"/>
  <c r="V44" i="6"/>
  <c r="AB44" i="6"/>
  <c r="AC44" i="6"/>
  <c r="P45" i="6"/>
  <c r="Q45" i="6"/>
  <c r="R45" i="6"/>
  <c r="V45" i="6"/>
  <c r="AB45" i="6"/>
  <c r="AC45" i="6"/>
  <c r="P46" i="6"/>
  <c r="Q46" i="6"/>
  <c r="W46" i="6"/>
  <c r="V46" i="6"/>
  <c r="AB46" i="6"/>
  <c r="AC46" i="6"/>
  <c r="P47" i="6"/>
  <c r="Q47" i="6"/>
  <c r="V47" i="6"/>
  <c r="AB47" i="6"/>
  <c r="AC47" i="6"/>
  <c r="P48" i="6"/>
  <c r="Q48" i="6"/>
  <c r="S48" i="6" s="1"/>
  <c r="V48" i="6"/>
  <c r="AB48" i="6"/>
  <c r="AC48" i="6"/>
  <c r="P49" i="6"/>
  <c r="Q49" i="6"/>
  <c r="S49" i="6" s="1"/>
  <c r="V49" i="6"/>
  <c r="AB49" i="6"/>
  <c r="AC49" i="6"/>
  <c r="P50" i="6"/>
  <c r="Q50" i="6"/>
  <c r="V50" i="6"/>
  <c r="AB50" i="6"/>
  <c r="AC50" i="6"/>
  <c r="P51" i="6"/>
  <c r="Q51" i="6"/>
  <c r="V51" i="6"/>
  <c r="AB51" i="6"/>
  <c r="AC51" i="6"/>
  <c r="P52" i="6"/>
  <c r="Q52" i="6"/>
  <c r="S52" i="6" s="1"/>
  <c r="V52" i="6"/>
  <c r="AB52" i="6"/>
  <c r="AC52" i="6"/>
  <c r="P53" i="6"/>
  <c r="Q53" i="6"/>
  <c r="V53" i="6"/>
  <c r="AB53" i="6"/>
  <c r="AC53" i="6"/>
  <c r="P54" i="6"/>
  <c r="Q54" i="6"/>
  <c r="V54" i="6"/>
  <c r="AB54" i="6"/>
  <c r="AC54" i="6"/>
  <c r="P55" i="6"/>
  <c r="Q55" i="6"/>
  <c r="V55" i="6"/>
  <c r="AB55" i="6"/>
  <c r="AC55" i="6"/>
  <c r="P56" i="6"/>
  <c r="Q56" i="6"/>
  <c r="V56" i="6"/>
  <c r="AB56" i="6"/>
  <c r="AC56" i="6"/>
  <c r="P57" i="6"/>
  <c r="Q57" i="6"/>
  <c r="X57" i="6" s="1"/>
  <c r="V57" i="6"/>
  <c r="AB57" i="6"/>
  <c r="AC57" i="6"/>
  <c r="P58" i="6"/>
  <c r="Q58" i="6"/>
  <c r="X58" i="6" s="1"/>
  <c r="V58" i="6"/>
  <c r="AB58" i="6"/>
  <c r="AC58" i="6"/>
  <c r="P59" i="6"/>
  <c r="Q59" i="6"/>
  <c r="V59" i="6"/>
  <c r="AB59" i="6"/>
  <c r="AC59" i="6"/>
  <c r="P60" i="6"/>
  <c r="Q60" i="6"/>
  <c r="V60" i="6"/>
  <c r="AB60" i="6"/>
  <c r="AC60" i="6"/>
  <c r="P61" i="6"/>
  <c r="Q61" i="6"/>
  <c r="V61" i="6"/>
  <c r="AB61" i="6"/>
  <c r="AC61" i="6"/>
  <c r="P62" i="6"/>
  <c r="Q62" i="6"/>
  <c r="R62" i="6" s="1"/>
  <c r="V62" i="6"/>
  <c r="AB62" i="6"/>
  <c r="AC62" i="6"/>
  <c r="P63" i="6"/>
  <c r="Q63" i="6"/>
  <c r="V63" i="6"/>
  <c r="AB63" i="6"/>
  <c r="AC63" i="6"/>
  <c r="P64" i="6"/>
  <c r="Q64" i="6"/>
  <c r="V64" i="6"/>
  <c r="AB64" i="6"/>
  <c r="AC64" i="6"/>
  <c r="P65" i="6"/>
  <c r="Q65" i="6"/>
  <c r="S65" i="6" s="1"/>
  <c r="V65" i="6"/>
  <c r="AB65" i="6"/>
  <c r="AC65" i="6"/>
  <c r="P66" i="6"/>
  <c r="Q66" i="6"/>
  <c r="P68" i="6"/>
  <c r="Q68" i="6"/>
  <c r="R68" i="6" s="1"/>
  <c r="P69" i="6"/>
  <c r="Q69" i="6"/>
  <c r="P70" i="6"/>
  <c r="Q70" i="6"/>
  <c r="R70" i="6" s="1"/>
  <c r="V70" i="6"/>
  <c r="AB70" i="6"/>
  <c r="AC70" i="6"/>
  <c r="P71" i="6"/>
  <c r="Q71" i="6"/>
  <c r="X71" i="6" s="1"/>
  <c r="V71" i="6"/>
  <c r="AB71" i="6"/>
  <c r="AC71" i="6"/>
  <c r="P72" i="6"/>
  <c r="Q72" i="6"/>
  <c r="V72" i="6"/>
  <c r="AB72" i="6"/>
  <c r="AC72" i="6"/>
  <c r="P73" i="6"/>
  <c r="Q73" i="6"/>
  <c r="R73" i="6" s="1"/>
  <c r="V73" i="6"/>
  <c r="AB73" i="6"/>
  <c r="AC73" i="6"/>
  <c r="P74" i="6"/>
  <c r="Q74" i="6"/>
  <c r="V74" i="6"/>
  <c r="AB74" i="6"/>
  <c r="AC74" i="6"/>
  <c r="P75" i="6"/>
  <c r="Q75" i="6"/>
  <c r="T75" i="6"/>
  <c r="V75" i="6"/>
  <c r="AB75" i="6"/>
  <c r="AC75" i="6"/>
  <c r="P76" i="6"/>
  <c r="Q76" i="6"/>
  <c r="W76" i="6"/>
  <c r="V76" i="6"/>
  <c r="AB76" i="6"/>
  <c r="AC76" i="6"/>
  <c r="P77" i="6"/>
  <c r="Q77" i="6"/>
  <c r="T77" i="6" s="1"/>
  <c r="V77" i="6"/>
  <c r="AB77" i="6"/>
  <c r="AC77" i="6"/>
  <c r="P78" i="6"/>
  <c r="Q78" i="6"/>
  <c r="V78" i="6"/>
  <c r="AB78" i="6"/>
  <c r="AC78" i="6"/>
  <c r="P79" i="6"/>
  <c r="Q79" i="6"/>
  <c r="X79" i="6" s="1"/>
  <c r="V79" i="6"/>
  <c r="AB79" i="6"/>
  <c r="AC79" i="6"/>
  <c r="P80" i="6"/>
  <c r="Q80" i="6"/>
  <c r="U80" i="6" s="1"/>
  <c r="V80" i="6"/>
  <c r="AB80" i="6"/>
  <c r="AC80" i="6"/>
  <c r="P81" i="6"/>
  <c r="Q81" i="6"/>
  <c r="W81" i="6"/>
  <c r="V81" i="6"/>
  <c r="AB81" i="6"/>
  <c r="AC81" i="6"/>
  <c r="P82" i="6"/>
  <c r="Q82" i="6"/>
  <c r="V82" i="6"/>
  <c r="AB82" i="6"/>
  <c r="AC82" i="6"/>
  <c r="P83" i="6"/>
  <c r="Q83" i="6"/>
  <c r="T83" i="6"/>
  <c r="V83" i="6"/>
  <c r="AB83" i="6"/>
  <c r="AC83" i="6"/>
  <c r="P84" i="6"/>
  <c r="Q84" i="6"/>
  <c r="S84" i="6" s="1"/>
  <c r="V84" i="6"/>
  <c r="AB84" i="6"/>
  <c r="AC84" i="6"/>
  <c r="P85" i="6"/>
  <c r="Q85" i="6"/>
  <c r="V85" i="6"/>
  <c r="AB85" i="6"/>
  <c r="AC85" i="6"/>
  <c r="P86" i="6"/>
  <c r="Q86" i="6"/>
  <c r="W86" i="6" s="1"/>
  <c r="V86" i="6"/>
  <c r="AB86" i="6"/>
  <c r="AC86" i="6"/>
  <c r="P87" i="6"/>
  <c r="Q87" i="6"/>
  <c r="V87" i="6"/>
  <c r="AB87" i="6"/>
  <c r="AC87" i="6"/>
  <c r="P88" i="6"/>
  <c r="Q88" i="6"/>
  <c r="V88" i="6"/>
  <c r="AB88" i="6"/>
  <c r="AC88" i="6"/>
  <c r="P89" i="6"/>
  <c r="Q89" i="6"/>
  <c r="V89" i="6"/>
  <c r="AB89" i="6"/>
  <c r="AC89" i="6"/>
  <c r="P90" i="6"/>
  <c r="Q90" i="6"/>
  <c r="V90" i="6"/>
  <c r="AB90" i="6"/>
  <c r="AC90" i="6"/>
  <c r="P91" i="6"/>
  <c r="Q91" i="6"/>
  <c r="S91" i="6"/>
  <c r="V91" i="6"/>
  <c r="AB91" i="6"/>
  <c r="AC91" i="6"/>
  <c r="O8" i="18"/>
  <c r="P8" i="18"/>
  <c r="U8" i="18"/>
  <c r="AA8" i="18"/>
  <c r="AA136" i="18" s="1"/>
  <c r="C56" i="5" s="1"/>
  <c r="AB8" i="18"/>
  <c r="O9" i="18"/>
  <c r="P9" i="18"/>
  <c r="T9" i="18" s="1"/>
  <c r="U9" i="18"/>
  <c r="AA9" i="18"/>
  <c r="AB9" i="18"/>
  <c r="O10" i="18"/>
  <c r="P10" i="18"/>
  <c r="U10" i="18"/>
  <c r="AA10" i="18"/>
  <c r="AB10" i="18"/>
  <c r="O11" i="18"/>
  <c r="P11" i="18"/>
  <c r="R11" i="18" s="1"/>
  <c r="U11" i="18"/>
  <c r="AA11" i="18"/>
  <c r="AB11" i="18"/>
  <c r="O12" i="18"/>
  <c r="P12" i="18"/>
  <c r="U12" i="18"/>
  <c r="AA12" i="18"/>
  <c r="AB12" i="18"/>
  <c r="O13" i="18"/>
  <c r="P13" i="18"/>
  <c r="Q13" i="18" s="1"/>
  <c r="U13" i="18"/>
  <c r="U136" i="18" s="1"/>
  <c r="B56" i="5" s="1"/>
  <c r="AA13" i="18"/>
  <c r="AB13" i="18"/>
  <c r="O14" i="18"/>
  <c r="P14" i="18"/>
  <c r="S14" i="18"/>
  <c r="U14" i="18"/>
  <c r="AA14" i="18"/>
  <c r="AB14" i="18"/>
  <c r="O15" i="18"/>
  <c r="P15" i="18"/>
  <c r="U15" i="18"/>
  <c r="AA15" i="18"/>
  <c r="AB15" i="18"/>
  <c r="O16" i="18"/>
  <c r="P16" i="18"/>
  <c r="R16" i="18"/>
  <c r="U16" i="18"/>
  <c r="AA16" i="18"/>
  <c r="AB16" i="18"/>
  <c r="O17" i="18"/>
  <c r="P17" i="18"/>
  <c r="S17" i="18"/>
  <c r="U17" i="18"/>
  <c r="AA17" i="18"/>
  <c r="AB17" i="18"/>
  <c r="O18" i="18"/>
  <c r="P18" i="18"/>
  <c r="S18" i="18" s="1"/>
  <c r="U18" i="18"/>
  <c r="AA18" i="18"/>
  <c r="AB18" i="18"/>
  <c r="O19" i="18"/>
  <c r="P19" i="18"/>
  <c r="Q19" i="18" s="1"/>
  <c r="U19" i="18"/>
  <c r="AA19" i="18"/>
  <c r="AB19" i="18"/>
  <c r="O20" i="18"/>
  <c r="P20" i="18"/>
  <c r="S20" i="18"/>
  <c r="U20" i="18"/>
  <c r="AA20" i="18"/>
  <c r="AB20" i="18"/>
  <c r="O21" i="18"/>
  <c r="P21" i="18"/>
  <c r="Q21" i="18" s="1"/>
  <c r="T21" i="18"/>
  <c r="U21" i="18"/>
  <c r="AA21" i="18"/>
  <c r="AB21" i="18"/>
  <c r="O22" i="18"/>
  <c r="P22" i="18"/>
  <c r="Q22" i="18"/>
  <c r="U22" i="18"/>
  <c r="AA22" i="18"/>
  <c r="AB22" i="18"/>
  <c r="O23" i="18"/>
  <c r="P23" i="18"/>
  <c r="Q23" i="18"/>
  <c r="U23" i="18"/>
  <c r="AA23" i="18"/>
  <c r="AB23" i="18"/>
  <c r="O24" i="18"/>
  <c r="P24" i="18"/>
  <c r="S24" i="18" s="1"/>
  <c r="U24" i="18"/>
  <c r="AA24" i="18"/>
  <c r="AB24" i="18"/>
  <c r="O25" i="18"/>
  <c r="P25" i="18"/>
  <c r="Q25" i="18"/>
  <c r="U25" i="18"/>
  <c r="AA25" i="18"/>
  <c r="AB25" i="18"/>
  <c r="O26" i="18"/>
  <c r="P26" i="18"/>
  <c r="Q26" i="18"/>
  <c r="U26" i="18"/>
  <c r="AA26" i="18"/>
  <c r="AB26" i="18"/>
  <c r="O27" i="18"/>
  <c r="P27" i="18"/>
  <c r="Q27" i="18" s="1"/>
  <c r="U27" i="18"/>
  <c r="AA27" i="18"/>
  <c r="AB27" i="18"/>
  <c r="O28" i="18"/>
  <c r="P28" i="18"/>
  <c r="U28" i="18"/>
  <c r="AA28" i="18"/>
  <c r="AB28" i="18"/>
  <c r="O29" i="18"/>
  <c r="P29" i="18"/>
  <c r="Q29" i="18" s="1"/>
  <c r="U29" i="18"/>
  <c r="AA29" i="18"/>
  <c r="AB29" i="18"/>
  <c r="O30" i="18"/>
  <c r="P30" i="18"/>
  <c r="R30" i="18"/>
  <c r="U30" i="18"/>
  <c r="AA30" i="18"/>
  <c r="AB30" i="18"/>
  <c r="O31" i="18"/>
  <c r="P31" i="18"/>
  <c r="R31" i="18" s="1"/>
  <c r="U31" i="18"/>
  <c r="AA31" i="18"/>
  <c r="AB31" i="18"/>
  <c r="O32" i="18"/>
  <c r="P32" i="18"/>
  <c r="U32" i="18"/>
  <c r="AA32" i="18"/>
  <c r="AB32" i="18"/>
  <c r="O33" i="18"/>
  <c r="P33" i="18"/>
  <c r="Q33" i="18" s="1"/>
  <c r="U33" i="18"/>
  <c r="AA33" i="18"/>
  <c r="AB33" i="18"/>
  <c r="O34" i="18"/>
  <c r="P34" i="18"/>
  <c r="Q34" i="18"/>
  <c r="S34" i="18"/>
  <c r="U34" i="18"/>
  <c r="AA34" i="18"/>
  <c r="AB34" i="18"/>
  <c r="O35" i="18"/>
  <c r="P35" i="18"/>
  <c r="Q35" i="18" s="1"/>
  <c r="U35" i="18"/>
  <c r="AA35" i="18"/>
  <c r="AB35" i="18"/>
  <c r="O36" i="18"/>
  <c r="P36" i="18"/>
  <c r="S36" i="18"/>
  <c r="U36" i="18"/>
  <c r="AA36" i="18"/>
  <c r="AB36" i="18"/>
  <c r="O37" i="18"/>
  <c r="P37" i="18"/>
  <c r="T37" i="18"/>
  <c r="U37" i="18"/>
  <c r="AA37" i="18"/>
  <c r="AB37" i="18"/>
  <c r="O38" i="18"/>
  <c r="P38" i="18"/>
  <c r="R38" i="18" s="1"/>
  <c r="U38" i="18"/>
  <c r="AA38" i="18"/>
  <c r="AB38" i="18"/>
  <c r="O39" i="18"/>
  <c r="P39" i="18"/>
  <c r="R39" i="18" s="1"/>
  <c r="U39" i="18"/>
  <c r="AA39" i="18"/>
  <c r="AB39" i="18"/>
  <c r="O40" i="18"/>
  <c r="P40" i="18"/>
  <c r="U40" i="18"/>
  <c r="AA40" i="18"/>
  <c r="AB40" i="18"/>
  <c r="O41" i="18"/>
  <c r="P41" i="18"/>
  <c r="T41" i="18"/>
  <c r="U41" i="18"/>
  <c r="AA41" i="18"/>
  <c r="AB41" i="18"/>
  <c r="O42" i="18"/>
  <c r="P42" i="18"/>
  <c r="U42" i="18"/>
  <c r="AA42" i="18"/>
  <c r="AB42" i="18"/>
  <c r="O43" i="18"/>
  <c r="P43" i="18"/>
  <c r="U43" i="18"/>
  <c r="AA43" i="18"/>
  <c r="AB43" i="18"/>
  <c r="O44" i="18"/>
  <c r="P44" i="18"/>
  <c r="S44" i="18"/>
  <c r="U44" i="18"/>
  <c r="AA44" i="18"/>
  <c r="AB44" i="18"/>
  <c r="O45" i="18"/>
  <c r="P45" i="18"/>
  <c r="T45" i="18"/>
  <c r="U45" i="18"/>
  <c r="AA45" i="18"/>
  <c r="AB45" i="18"/>
  <c r="O46" i="18"/>
  <c r="P46" i="18"/>
  <c r="U46" i="18"/>
  <c r="AA46" i="18"/>
  <c r="AB46" i="18"/>
  <c r="O47" i="18"/>
  <c r="P47" i="18"/>
  <c r="U47" i="18"/>
  <c r="AA47" i="18"/>
  <c r="AB47" i="18"/>
  <c r="O48" i="18"/>
  <c r="P48" i="18"/>
  <c r="Q48" i="18"/>
  <c r="U48" i="18"/>
  <c r="AA48" i="18"/>
  <c r="AB48" i="18"/>
  <c r="O49" i="18"/>
  <c r="P49" i="18"/>
  <c r="R49" i="18" s="1"/>
  <c r="U49" i="18"/>
  <c r="AA49" i="18"/>
  <c r="AB49" i="18"/>
  <c r="O50" i="18"/>
  <c r="P50" i="18"/>
  <c r="U50" i="18"/>
  <c r="AA50" i="18"/>
  <c r="AB50" i="18"/>
  <c r="O51" i="18"/>
  <c r="P51" i="18"/>
  <c r="U51" i="18"/>
  <c r="AA51" i="18"/>
  <c r="AB51" i="18"/>
  <c r="O52" i="18"/>
  <c r="P52" i="18"/>
  <c r="S52" i="18" s="1"/>
  <c r="U52" i="18"/>
  <c r="AA52" i="18"/>
  <c r="AB52" i="18"/>
  <c r="O53" i="18"/>
  <c r="P53" i="18"/>
  <c r="Q53" i="18"/>
  <c r="U53" i="18"/>
  <c r="AA53" i="18"/>
  <c r="AB53" i="18"/>
  <c r="O54" i="18"/>
  <c r="P54" i="18"/>
  <c r="R54" i="18"/>
  <c r="U54" i="18"/>
  <c r="AA54" i="18"/>
  <c r="AB54" i="18"/>
  <c r="O55" i="18"/>
  <c r="P55" i="18"/>
  <c r="R55" i="18" s="1"/>
  <c r="U55" i="18"/>
  <c r="AA55" i="18"/>
  <c r="AB55" i="18"/>
  <c r="O56" i="18"/>
  <c r="P56" i="18"/>
  <c r="S56" i="18" s="1"/>
  <c r="U56" i="18"/>
  <c r="AA56" i="18"/>
  <c r="AB56" i="18"/>
  <c r="O57" i="18"/>
  <c r="P57" i="18"/>
  <c r="T57" i="18"/>
  <c r="U57" i="18"/>
  <c r="AA57" i="18"/>
  <c r="AB57" i="18"/>
  <c r="O58" i="18"/>
  <c r="P58" i="18"/>
  <c r="R58" i="18"/>
  <c r="U58" i="18"/>
  <c r="AA58" i="18"/>
  <c r="AB58" i="18"/>
  <c r="O59" i="18"/>
  <c r="P59" i="18"/>
  <c r="R59" i="18" s="1"/>
  <c r="U59" i="18"/>
  <c r="AA59" i="18"/>
  <c r="AB59" i="18"/>
  <c r="O60" i="18"/>
  <c r="P60" i="18"/>
  <c r="R60" i="18" s="1"/>
  <c r="U60" i="18"/>
  <c r="AA60" i="18"/>
  <c r="AB60" i="18"/>
  <c r="O61" i="18"/>
  <c r="P61" i="18"/>
  <c r="T61" i="18"/>
  <c r="U61" i="18"/>
  <c r="AA61" i="18"/>
  <c r="AB61" i="18"/>
  <c r="O62" i="18"/>
  <c r="P62" i="18"/>
  <c r="R62" i="18" s="1"/>
  <c r="S62" i="18"/>
  <c r="U62" i="18"/>
  <c r="AA62" i="18"/>
  <c r="AB62" i="18"/>
  <c r="O63" i="18"/>
  <c r="P63" i="18"/>
  <c r="Q63" i="18"/>
  <c r="U63" i="18"/>
  <c r="AA63" i="18"/>
  <c r="AB63" i="18"/>
  <c r="O64" i="18"/>
  <c r="P64" i="18"/>
  <c r="U64" i="18"/>
  <c r="AA64" i="18"/>
  <c r="AB64" i="18"/>
  <c r="O65" i="18"/>
  <c r="P65" i="18"/>
  <c r="S65" i="18"/>
  <c r="U65" i="18"/>
  <c r="AA65" i="18"/>
  <c r="AB65" i="18"/>
  <c r="O66" i="18"/>
  <c r="P66" i="18"/>
  <c r="S66" i="18" s="1"/>
  <c r="T66" i="18"/>
  <c r="U66" i="18"/>
  <c r="AA66" i="18"/>
  <c r="AB66" i="18"/>
  <c r="O67" i="18"/>
  <c r="P67" i="18"/>
  <c r="Q67" i="18"/>
  <c r="S67" i="18"/>
  <c r="U67" i="18"/>
  <c r="AA67" i="18"/>
  <c r="AB67" i="18"/>
  <c r="O68" i="18"/>
  <c r="P68" i="18"/>
  <c r="U68" i="18"/>
  <c r="AA68" i="18"/>
  <c r="AB68" i="18"/>
  <c r="O69" i="18"/>
  <c r="P69" i="18"/>
  <c r="U69" i="18"/>
  <c r="AA69" i="18"/>
  <c r="AB69" i="18"/>
  <c r="O70" i="18"/>
  <c r="P70" i="18"/>
  <c r="S70" i="18" s="1"/>
  <c r="U70" i="18"/>
  <c r="AA70" i="18"/>
  <c r="AB70" i="18"/>
  <c r="O71" i="18"/>
  <c r="P71" i="18"/>
  <c r="U71" i="18"/>
  <c r="AA71" i="18"/>
  <c r="AB71" i="18"/>
  <c r="O72" i="18"/>
  <c r="P72" i="18"/>
  <c r="S72" i="18" s="1"/>
  <c r="U72" i="18"/>
  <c r="AA72" i="18"/>
  <c r="AB72" i="18"/>
  <c r="O73" i="18"/>
  <c r="P73" i="18"/>
  <c r="U73" i="18"/>
  <c r="AA73" i="18"/>
  <c r="AB73" i="18"/>
  <c r="O74" i="18"/>
  <c r="P74" i="18"/>
  <c r="S74" i="18"/>
  <c r="U74" i="18"/>
  <c r="AA74" i="18"/>
  <c r="AB74" i="18"/>
  <c r="O75" i="18"/>
  <c r="P75" i="18"/>
  <c r="Q75" i="18"/>
  <c r="U75" i="18"/>
  <c r="AA75" i="18"/>
  <c r="AB75" i="18"/>
  <c r="O76" i="18"/>
  <c r="P76" i="18"/>
  <c r="U76" i="18"/>
  <c r="AA76" i="18"/>
  <c r="AB76" i="18"/>
  <c r="O77" i="18"/>
  <c r="P77" i="18"/>
  <c r="T77" i="18"/>
  <c r="U77" i="18"/>
  <c r="AA77" i="18"/>
  <c r="AB77" i="18"/>
  <c r="O78" i="18"/>
  <c r="P78" i="18"/>
  <c r="R78" i="18" s="1"/>
  <c r="U78" i="18"/>
  <c r="AA78" i="18"/>
  <c r="AB78" i="18"/>
  <c r="O79" i="18"/>
  <c r="P79" i="18"/>
  <c r="U79" i="18"/>
  <c r="AA79" i="18"/>
  <c r="AB79" i="18"/>
  <c r="O80" i="18"/>
  <c r="P80" i="18"/>
  <c r="R80" i="18" s="1"/>
  <c r="U80" i="18"/>
  <c r="AA80" i="18"/>
  <c r="AB80" i="18"/>
  <c r="O81" i="18"/>
  <c r="P81" i="18"/>
  <c r="U81" i="18"/>
  <c r="AA81" i="18"/>
  <c r="AB81" i="18"/>
  <c r="O82" i="18"/>
  <c r="P82" i="18"/>
  <c r="R82" i="18" s="1"/>
  <c r="U82" i="18"/>
  <c r="AA82" i="18"/>
  <c r="AB82" i="18"/>
  <c r="O83" i="18"/>
  <c r="P83" i="18"/>
  <c r="R83" i="18"/>
  <c r="U83" i="18"/>
  <c r="AA83" i="18"/>
  <c r="AB83" i="18"/>
  <c r="O84" i="18"/>
  <c r="P84" i="18"/>
  <c r="S84" i="18"/>
  <c r="U84" i="18"/>
  <c r="AA84" i="18"/>
  <c r="AB84" i="18"/>
  <c r="O85" i="18"/>
  <c r="P85" i="18"/>
  <c r="S85" i="18" s="1"/>
  <c r="U85" i="18"/>
  <c r="AA85" i="18"/>
  <c r="AB85" i="18"/>
  <c r="O86" i="18"/>
  <c r="P86" i="18"/>
  <c r="S86" i="18" s="1"/>
  <c r="Q86" i="18"/>
  <c r="U86" i="18"/>
  <c r="AA86" i="18"/>
  <c r="AB86" i="18"/>
  <c r="O87" i="18"/>
  <c r="P87" i="18"/>
  <c r="S87" i="18" s="1"/>
  <c r="U87" i="18"/>
  <c r="AA87" i="18"/>
  <c r="AB87" i="18"/>
  <c r="O88" i="18"/>
  <c r="P88" i="18"/>
  <c r="T88" i="18" s="1"/>
  <c r="U88" i="18"/>
  <c r="AA88" i="18"/>
  <c r="AB88" i="18"/>
  <c r="O89" i="18"/>
  <c r="P89" i="18"/>
  <c r="Q89" i="18"/>
  <c r="U89" i="18"/>
  <c r="AA89" i="18"/>
  <c r="AB89" i="18"/>
  <c r="O90" i="18"/>
  <c r="P90" i="18"/>
  <c r="S90" i="18"/>
  <c r="U90" i="18"/>
  <c r="AA90" i="18"/>
  <c r="AB90" i="18"/>
  <c r="O91" i="18"/>
  <c r="P91" i="18"/>
  <c r="T91" i="18" s="1"/>
  <c r="U91" i="18"/>
  <c r="AA91" i="18"/>
  <c r="AB91" i="18"/>
  <c r="O92" i="18"/>
  <c r="P92" i="18"/>
  <c r="R92" i="18"/>
  <c r="U92" i="18"/>
  <c r="AA92" i="18"/>
  <c r="AB92" i="18"/>
  <c r="O93" i="18"/>
  <c r="P93" i="18"/>
  <c r="Q93" i="18"/>
  <c r="U93" i="18"/>
  <c r="AA93" i="18"/>
  <c r="AB93" i="18"/>
  <c r="O94" i="18"/>
  <c r="P94" i="18"/>
  <c r="U94" i="18"/>
  <c r="AA94" i="18"/>
  <c r="AB94" i="18"/>
  <c r="O95" i="18"/>
  <c r="P95" i="18"/>
  <c r="Q95" i="18" s="1"/>
  <c r="U95" i="18"/>
  <c r="AA95" i="18"/>
  <c r="AB95" i="18"/>
  <c r="O96" i="18"/>
  <c r="P96" i="18"/>
  <c r="U96" i="18"/>
  <c r="AA96" i="18"/>
  <c r="AB96" i="18"/>
  <c r="O97" i="18"/>
  <c r="P97" i="18"/>
  <c r="R97" i="18" s="1"/>
  <c r="U97" i="18"/>
  <c r="AA97" i="18"/>
  <c r="AB97" i="18"/>
  <c r="O98" i="18"/>
  <c r="P98" i="18"/>
  <c r="U98" i="18"/>
  <c r="AA98" i="18"/>
  <c r="AB98" i="18"/>
  <c r="O99" i="18"/>
  <c r="P99" i="18"/>
  <c r="U99" i="18"/>
  <c r="AA99" i="18"/>
  <c r="AB99" i="18"/>
  <c r="O100" i="18"/>
  <c r="P100" i="18"/>
  <c r="U100" i="18"/>
  <c r="AA100" i="18"/>
  <c r="AB100" i="18"/>
  <c r="O101" i="18"/>
  <c r="P101" i="18"/>
  <c r="Q101" i="18" s="1"/>
  <c r="U101" i="18"/>
  <c r="AA101" i="18"/>
  <c r="AB101" i="18"/>
  <c r="O102" i="18"/>
  <c r="P102" i="18"/>
  <c r="S102" i="18" s="1"/>
  <c r="Q102" i="18"/>
  <c r="U102" i="18"/>
  <c r="AA102" i="18"/>
  <c r="AB102" i="18"/>
  <c r="O103" i="18"/>
  <c r="P103" i="18"/>
  <c r="Q103" i="18" s="1"/>
  <c r="U103" i="18"/>
  <c r="AA103" i="18"/>
  <c r="AB103" i="18"/>
  <c r="O104" i="18"/>
  <c r="P104" i="18"/>
  <c r="S104" i="18"/>
  <c r="U104" i="18"/>
  <c r="AA104" i="18"/>
  <c r="AB104" i="18"/>
  <c r="O105" i="18"/>
  <c r="P105" i="18"/>
  <c r="Q105" i="18"/>
  <c r="U105" i="18"/>
  <c r="AA105" i="18"/>
  <c r="AB105" i="18"/>
  <c r="O106" i="18"/>
  <c r="P106" i="18"/>
  <c r="Q106" i="18" s="1"/>
  <c r="U106" i="18"/>
  <c r="AA106" i="18"/>
  <c r="AB106" i="18"/>
  <c r="O107" i="18"/>
  <c r="P107" i="18"/>
  <c r="Q107" i="18" s="1"/>
  <c r="U107" i="18"/>
  <c r="AA107" i="18"/>
  <c r="AB107" i="18"/>
  <c r="O108" i="18"/>
  <c r="P108" i="18"/>
  <c r="Q108" i="18"/>
  <c r="U108" i="18"/>
  <c r="AA108" i="18"/>
  <c r="AB108" i="18"/>
  <c r="O109" i="18"/>
  <c r="P109" i="18"/>
  <c r="T109" i="18"/>
  <c r="U109" i="18"/>
  <c r="AA109" i="18"/>
  <c r="AB109" i="18"/>
  <c r="O110" i="18"/>
  <c r="P110" i="18"/>
  <c r="S110" i="18" s="1"/>
  <c r="Q110" i="18"/>
  <c r="U110" i="18"/>
  <c r="AA110" i="18"/>
  <c r="AB110" i="18"/>
  <c r="O111" i="18"/>
  <c r="P111" i="18"/>
  <c r="Q111" i="18" s="1"/>
  <c r="U111" i="18"/>
  <c r="AA111" i="18"/>
  <c r="AB111" i="18"/>
  <c r="O112" i="18"/>
  <c r="P112" i="18"/>
  <c r="Q112" i="18"/>
  <c r="U112" i="18"/>
  <c r="AA112" i="18"/>
  <c r="AB112" i="18"/>
  <c r="O113" i="18"/>
  <c r="P113" i="18"/>
  <c r="T113" i="18"/>
  <c r="U113" i="18"/>
  <c r="AA113" i="18"/>
  <c r="AB113" i="18"/>
  <c r="O114" i="18"/>
  <c r="P114" i="18"/>
  <c r="U114" i="18"/>
  <c r="AA114" i="18"/>
  <c r="AB114" i="18"/>
  <c r="O115" i="18"/>
  <c r="P115" i="18"/>
  <c r="S115" i="18" s="1"/>
  <c r="U115" i="18"/>
  <c r="AA115" i="18"/>
  <c r="AB115" i="18"/>
  <c r="O116" i="18"/>
  <c r="P116" i="18"/>
  <c r="T116" i="18" s="1"/>
  <c r="U116" i="18"/>
  <c r="AA116" i="18"/>
  <c r="AB116" i="18"/>
  <c r="O117" i="18"/>
  <c r="P117" i="18"/>
  <c r="S117" i="18"/>
  <c r="U117" i="18"/>
  <c r="AA117" i="18"/>
  <c r="AB117" i="18"/>
  <c r="O118" i="18"/>
  <c r="P118" i="18"/>
  <c r="S118" i="18"/>
  <c r="U118" i="18"/>
  <c r="AA118" i="18"/>
  <c r="AB118" i="18"/>
  <c r="O119" i="18"/>
  <c r="P119" i="18"/>
  <c r="U119" i="18"/>
  <c r="AA119" i="18"/>
  <c r="AB119" i="18"/>
  <c r="O120" i="18"/>
  <c r="P120" i="18"/>
  <c r="R120" i="18"/>
  <c r="S120" i="18"/>
  <c r="U120" i="18"/>
  <c r="AA120" i="18"/>
  <c r="AB120" i="18"/>
  <c r="O121" i="18"/>
  <c r="P121" i="18"/>
  <c r="Q121" i="18" s="1"/>
  <c r="U121" i="18"/>
  <c r="AA121" i="18"/>
  <c r="AB121" i="18"/>
  <c r="O122" i="18"/>
  <c r="P122" i="18"/>
  <c r="U122" i="18"/>
  <c r="AA122" i="18"/>
  <c r="AB122" i="18"/>
  <c r="O123" i="18"/>
  <c r="P123" i="18"/>
  <c r="Q123" i="18"/>
  <c r="U123" i="18"/>
  <c r="AA123" i="18"/>
  <c r="AB123" i="18"/>
  <c r="O124" i="18"/>
  <c r="P124" i="18"/>
  <c r="R124" i="18"/>
  <c r="U124" i="18"/>
  <c r="AA124" i="18"/>
  <c r="AB124" i="18"/>
  <c r="O125" i="18"/>
  <c r="P125" i="18"/>
  <c r="T125" i="18" s="1"/>
  <c r="U125" i="18"/>
  <c r="AA125" i="18"/>
  <c r="AB125" i="18"/>
  <c r="O126" i="18"/>
  <c r="P126" i="18"/>
  <c r="R126" i="18" s="1"/>
  <c r="U126" i="18"/>
  <c r="AA126" i="18"/>
  <c r="AB126" i="18"/>
  <c r="O127" i="18"/>
  <c r="P127" i="18"/>
  <c r="R127" i="18"/>
  <c r="U127" i="18"/>
  <c r="AA127" i="18"/>
  <c r="AB127" i="18"/>
  <c r="O128" i="18"/>
  <c r="P128" i="18"/>
  <c r="S128" i="18"/>
  <c r="U128" i="18"/>
  <c r="AA128" i="18"/>
  <c r="AB128" i="18"/>
  <c r="O129" i="18"/>
  <c r="P129" i="18"/>
  <c r="T129" i="18" s="1"/>
  <c r="U129" i="18"/>
  <c r="AA129" i="18"/>
  <c r="AB129" i="18"/>
  <c r="O130" i="18"/>
  <c r="P130" i="18"/>
  <c r="Q130" i="18" s="1"/>
  <c r="U130" i="18"/>
  <c r="AA130" i="18"/>
  <c r="AB130" i="18"/>
  <c r="O131" i="18"/>
  <c r="P131" i="18"/>
  <c r="Q131" i="18"/>
  <c r="U131" i="18"/>
  <c r="AA131" i="18"/>
  <c r="AB131" i="18"/>
  <c r="O132" i="18"/>
  <c r="P132" i="18"/>
  <c r="S132" i="18"/>
  <c r="U132" i="18"/>
  <c r="AA132" i="18"/>
  <c r="AB132" i="18"/>
  <c r="O133" i="18"/>
  <c r="P133" i="18"/>
  <c r="S133" i="18" s="1"/>
  <c r="U133" i="18"/>
  <c r="AA133" i="18"/>
  <c r="AB133" i="18"/>
  <c r="O134" i="18"/>
  <c r="P134" i="18"/>
  <c r="R134" i="18" s="1"/>
  <c r="U134" i="18"/>
  <c r="AA134" i="18"/>
  <c r="AB134" i="18"/>
  <c r="O135" i="18"/>
  <c r="P135" i="18"/>
  <c r="R135" i="18"/>
  <c r="U135" i="18"/>
  <c r="AA135" i="18"/>
  <c r="AB135" i="18"/>
  <c r="D136" i="18"/>
  <c r="P8" i="19"/>
  <c r="Q8" i="19"/>
  <c r="T8" i="19" s="1"/>
  <c r="V8" i="19"/>
  <c r="AB8" i="19"/>
  <c r="AC8" i="19"/>
  <c r="P9" i="19"/>
  <c r="Q9" i="19"/>
  <c r="X9" i="19" s="1"/>
  <c r="P10" i="19"/>
  <c r="Q10" i="19"/>
  <c r="T10" i="19"/>
  <c r="V10" i="19"/>
  <c r="AB10" i="19"/>
  <c r="AC10" i="19"/>
  <c r="P11" i="19"/>
  <c r="Q11" i="19"/>
  <c r="S11" i="19"/>
  <c r="V11" i="19"/>
  <c r="AB11" i="19"/>
  <c r="AC11" i="19"/>
  <c r="P12" i="19"/>
  <c r="Q12" i="19"/>
  <c r="S12" i="19" s="1"/>
  <c r="V12" i="19"/>
  <c r="AB12" i="19"/>
  <c r="AC12" i="19"/>
  <c r="P13" i="19"/>
  <c r="Q13" i="19"/>
  <c r="W13" i="19" s="1"/>
  <c r="V13" i="19"/>
  <c r="AB13" i="19"/>
  <c r="AC13" i="19"/>
  <c r="P14" i="19"/>
  <c r="Q14" i="19"/>
  <c r="U14" i="19"/>
  <c r="V14" i="19"/>
  <c r="AB14" i="19"/>
  <c r="AC14" i="19"/>
  <c r="P15" i="19"/>
  <c r="Q15" i="19"/>
  <c r="V15" i="19"/>
  <c r="AB15" i="19"/>
  <c r="AC15" i="19"/>
  <c r="P16" i="19"/>
  <c r="Q16" i="19"/>
  <c r="V16" i="19"/>
  <c r="AB16" i="19"/>
  <c r="AC16" i="19"/>
  <c r="P17" i="19"/>
  <c r="Q17" i="19"/>
  <c r="W17" i="19"/>
  <c r="V17" i="19"/>
  <c r="AB17" i="19"/>
  <c r="AC17" i="19"/>
  <c r="P18" i="19"/>
  <c r="Q18" i="19"/>
  <c r="W18" i="19"/>
  <c r="V18" i="19"/>
  <c r="AB18" i="19"/>
  <c r="AC18" i="19"/>
  <c r="P19" i="19"/>
  <c r="Q19" i="19"/>
  <c r="R19" i="19" s="1"/>
  <c r="V19" i="19"/>
  <c r="AB19" i="19"/>
  <c r="AC19" i="19"/>
  <c r="P20" i="19"/>
  <c r="Q20" i="19"/>
  <c r="V20" i="19"/>
  <c r="AB20" i="19"/>
  <c r="AC20" i="19"/>
  <c r="P21" i="19"/>
  <c r="Q21" i="19"/>
  <c r="V21" i="19"/>
  <c r="AB21" i="19"/>
  <c r="AC21" i="19"/>
  <c r="P22" i="19"/>
  <c r="Q22" i="19"/>
  <c r="T22" i="19" s="1"/>
  <c r="V22" i="19"/>
  <c r="AB22" i="19"/>
  <c r="AC22" i="19"/>
  <c r="P23" i="19"/>
  <c r="Q23" i="19"/>
  <c r="W23" i="19" s="1"/>
  <c r="V23" i="19"/>
  <c r="AB23" i="19"/>
  <c r="AC23" i="19"/>
  <c r="P24" i="19"/>
  <c r="Q24" i="19"/>
  <c r="U24" i="19"/>
  <c r="V24" i="19"/>
  <c r="AB24" i="19"/>
  <c r="AC24" i="19"/>
  <c r="P25" i="19"/>
  <c r="Q25" i="19"/>
  <c r="T25" i="19"/>
  <c r="X25" i="19"/>
  <c r="V25" i="19"/>
  <c r="AB25" i="19"/>
  <c r="AC25" i="19"/>
  <c r="P26" i="19"/>
  <c r="Q26" i="19"/>
  <c r="W26" i="19" s="1"/>
  <c r="V26" i="19"/>
  <c r="V93" i="19" s="1"/>
  <c r="B55" i="5" s="1"/>
  <c r="AB26" i="19"/>
  <c r="AC26" i="19"/>
  <c r="P27" i="19"/>
  <c r="Q27" i="19"/>
  <c r="T27" i="19"/>
  <c r="V27" i="19"/>
  <c r="AB27" i="19"/>
  <c r="AC27" i="19"/>
  <c r="P28" i="19"/>
  <c r="Q28" i="19"/>
  <c r="R28" i="19"/>
  <c r="V28" i="19"/>
  <c r="AB28" i="19"/>
  <c r="AC28" i="19"/>
  <c r="P29" i="19"/>
  <c r="Q29" i="19"/>
  <c r="T29" i="19" s="1"/>
  <c r="V29" i="19"/>
  <c r="AB29" i="19"/>
  <c r="AC29" i="19"/>
  <c r="P30" i="19"/>
  <c r="Q30" i="19"/>
  <c r="X30" i="19" s="1"/>
  <c r="V30" i="19"/>
  <c r="AB30" i="19"/>
  <c r="AC30" i="19"/>
  <c r="P31" i="19"/>
  <c r="Q31" i="19"/>
  <c r="T31" i="19"/>
  <c r="X31" i="19"/>
  <c r="V31" i="19"/>
  <c r="AB31" i="19"/>
  <c r="AC31" i="19"/>
  <c r="P32" i="19"/>
  <c r="Q32" i="19"/>
  <c r="W32" i="19" s="1"/>
  <c r="V32" i="19"/>
  <c r="AB32" i="19"/>
  <c r="AC32" i="19"/>
  <c r="P33" i="19"/>
  <c r="Q33" i="19"/>
  <c r="V33" i="19"/>
  <c r="AB33" i="19"/>
  <c r="AC33" i="19"/>
  <c r="P34" i="19"/>
  <c r="Q34" i="19"/>
  <c r="X34" i="19" s="1"/>
  <c r="V34" i="19"/>
  <c r="AB34" i="19"/>
  <c r="AC34" i="19"/>
  <c r="P35" i="19"/>
  <c r="Q35" i="19"/>
  <c r="V35" i="19"/>
  <c r="AB35" i="19"/>
  <c r="AC35" i="19"/>
  <c r="P36" i="19"/>
  <c r="Q36" i="19"/>
  <c r="X36" i="19"/>
  <c r="V36" i="19"/>
  <c r="AB36" i="19"/>
  <c r="AC36" i="19"/>
  <c r="P37" i="19"/>
  <c r="Q37" i="19"/>
  <c r="R37" i="19"/>
  <c r="V37" i="19"/>
  <c r="AB37" i="19"/>
  <c r="AC37" i="19"/>
  <c r="P38" i="19"/>
  <c r="Q38" i="19"/>
  <c r="V38" i="19"/>
  <c r="AB38" i="19"/>
  <c r="AC38" i="19"/>
  <c r="P39" i="19"/>
  <c r="Q39" i="19"/>
  <c r="U39" i="19"/>
  <c r="V39" i="19"/>
  <c r="AB39" i="19"/>
  <c r="AC39" i="19"/>
  <c r="P40" i="19"/>
  <c r="Q40" i="19"/>
  <c r="T40" i="19" s="1"/>
  <c r="V40" i="19"/>
  <c r="AB40" i="19"/>
  <c r="AC40" i="19"/>
  <c r="P41" i="19"/>
  <c r="Q41" i="19"/>
  <c r="X41" i="19" s="1"/>
  <c r="V41" i="19"/>
  <c r="AB41" i="19"/>
  <c r="AC41" i="19"/>
  <c r="P42" i="19"/>
  <c r="Q42" i="19"/>
  <c r="V42" i="19"/>
  <c r="AB42" i="19"/>
  <c r="AC42" i="19"/>
  <c r="P43" i="19"/>
  <c r="Q43" i="19"/>
  <c r="R43" i="19"/>
  <c r="S43" i="19"/>
  <c r="V43" i="19"/>
  <c r="AB43" i="19"/>
  <c r="AC43" i="19"/>
  <c r="P44" i="19"/>
  <c r="Q44" i="19"/>
  <c r="S44" i="19" s="1"/>
  <c r="V44" i="19"/>
  <c r="AB44" i="19"/>
  <c r="AC44" i="19"/>
  <c r="P45" i="19"/>
  <c r="Q45" i="19"/>
  <c r="U45" i="19" s="1"/>
  <c r="V45" i="19"/>
  <c r="AB45" i="19"/>
  <c r="AC45" i="19"/>
  <c r="P46" i="19"/>
  <c r="Q46" i="19"/>
  <c r="T46" i="19"/>
  <c r="V46" i="19"/>
  <c r="AB46" i="19"/>
  <c r="AC46" i="19"/>
  <c r="P47" i="19"/>
  <c r="Q47" i="19"/>
  <c r="R47" i="19"/>
  <c r="V47" i="19"/>
  <c r="AB47" i="19"/>
  <c r="AC47" i="19"/>
  <c r="P48" i="19"/>
  <c r="Q48" i="19"/>
  <c r="U48" i="19" s="1"/>
  <c r="V48" i="19"/>
  <c r="AB48" i="19"/>
  <c r="AC48" i="19"/>
  <c r="P49" i="19"/>
  <c r="Q49" i="19"/>
  <c r="V49" i="19"/>
  <c r="AB49" i="19"/>
  <c r="AC49" i="19"/>
  <c r="P50" i="19"/>
  <c r="Q50" i="19"/>
  <c r="V50" i="19"/>
  <c r="AB50" i="19"/>
  <c r="AC50" i="19"/>
  <c r="P51" i="19"/>
  <c r="Q51" i="19"/>
  <c r="T51" i="19" s="1"/>
  <c r="V51" i="19"/>
  <c r="AB51" i="19"/>
  <c r="AC51" i="19"/>
  <c r="P52" i="19"/>
  <c r="Q52" i="19"/>
  <c r="R52" i="19" s="1"/>
  <c r="V52" i="19"/>
  <c r="AB52" i="19"/>
  <c r="AC52" i="19"/>
  <c r="P53" i="19"/>
  <c r="Q53" i="19"/>
  <c r="V53" i="19"/>
  <c r="AB53" i="19"/>
  <c r="AC53" i="19"/>
  <c r="P54" i="19"/>
  <c r="Q54" i="19"/>
  <c r="R54" i="19"/>
  <c r="V54" i="19"/>
  <c r="AB54" i="19"/>
  <c r="AC54" i="19"/>
  <c r="P55" i="19"/>
  <c r="Q55" i="19"/>
  <c r="V55" i="19"/>
  <c r="AB55" i="19"/>
  <c r="AC55" i="19"/>
  <c r="P56" i="19"/>
  <c r="Q56" i="19"/>
  <c r="T56" i="19"/>
  <c r="V56" i="19"/>
  <c r="AB56" i="19"/>
  <c r="AC56" i="19"/>
  <c r="P57" i="19"/>
  <c r="Q57" i="19"/>
  <c r="R57" i="19"/>
  <c r="V57" i="19"/>
  <c r="AB57" i="19"/>
  <c r="AC57" i="19"/>
  <c r="P58" i="19"/>
  <c r="Q58" i="19"/>
  <c r="R58" i="19" s="1"/>
  <c r="V58" i="19"/>
  <c r="AB58" i="19"/>
  <c r="AC58" i="19"/>
  <c r="P59" i="19"/>
  <c r="Q59" i="19"/>
  <c r="V59" i="19"/>
  <c r="AB59" i="19"/>
  <c r="AC59" i="19"/>
  <c r="P60" i="19"/>
  <c r="Q60" i="19"/>
  <c r="V60" i="19"/>
  <c r="AB60" i="19"/>
  <c r="AC60" i="19"/>
  <c r="P61" i="19"/>
  <c r="Q61" i="19"/>
  <c r="R61" i="19" s="1"/>
  <c r="V61" i="19"/>
  <c r="AB61" i="19"/>
  <c r="AC61" i="19"/>
  <c r="P62" i="19"/>
  <c r="Q62" i="19"/>
  <c r="V62" i="19"/>
  <c r="AB62" i="19"/>
  <c r="AC62" i="19"/>
  <c r="P63" i="19"/>
  <c r="Q63" i="19"/>
  <c r="W63" i="19" s="1"/>
  <c r="V63" i="19"/>
  <c r="AB63" i="19"/>
  <c r="AC63" i="19"/>
  <c r="P64" i="19"/>
  <c r="Q64" i="19"/>
  <c r="S64" i="19"/>
  <c r="V64" i="19"/>
  <c r="AB64" i="19"/>
  <c r="AC64" i="19"/>
  <c r="P65" i="19"/>
  <c r="Q65" i="19"/>
  <c r="T65" i="19"/>
  <c r="V65" i="19"/>
  <c r="AB65" i="19"/>
  <c r="AC65" i="19"/>
  <c r="P66" i="19"/>
  <c r="Q66" i="19"/>
  <c r="S66" i="19" s="1"/>
  <c r="V66" i="19"/>
  <c r="AB66" i="19"/>
  <c r="AC66" i="19"/>
  <c r="P67" i="19"/>
  <c r="Q67" i="19"/>
  <c r="U67" i="19" s="1"/>
  <c r="P69" i="19"/>
  <c r="Q69" i="19"/>
  <c r="X69" i="19" s="1"/>
  <c r="P70" i="19"/>
  <c r="Q70" i="19"/>
  <c r="T70" i="19"/>
  <c r="P71" i="19"/>
  <c r="Q71" i="19"/>
  <c r="V71" i="19"/>
  <c r="AB71" i="19"/>
  <c r="AC71" i="19"/>
  <c r="P72" i="19"/>
  <c r="Q72" i="19"/>
  <c r="V72" i="19"/>
  <c r="AB72" i="19"/>
  <c r="AC72" i="19"/>
  <c r="P73" i="19"/>
  <c r="Q73" i="19"/>
  <c r="W73" i="19" s="1"/>
  <c r="V73" i="19"/>
  <c r="AB73" i="19"/>
  <c r="AC73" i="19"/>
  <c r="P74" i="19"/>
  <c r="Q74" i="19"/>
  <c r="V74" i="19"/>
  <c r="AB74" i="19"/>
  <c r="AC74" i="19"/>
  <c r="P75" i="19"/>
  <c r="Q75" i="19"/>
  <c r="V75" i="19"/>
  <c r="AB75" i="19"/>
  <c r="AC75" i="19"/>
  <c r="P76" i="19"/>
  <c r="Q76" i="19"/>
  <c r="U76" i="19" s="1"/>
  <c r="V76" i="19"/>
  <c r="AB76" i="19"/>
  <c r="AC76" i="19"/>
  <c r="P77" i="19"/>
  <c r="Q77" i="19"/>
  <c r="R77" i="19"/>
  <c r="V77" i="19"/>
  <c r="AB77" i="19"/>
  <c r="AC77" i="19"/>
  <c r="P78" i="19"/>
  <c r="Q78" i="19"/>
  <c r="S78" i="19"/>
  <c r="P79" i="19"/>
  <c r="Q79" i="19"/>
  <c r="W79" i="19" s="1"/>
  <c r="V79" i="19"/>
  <c r="AB79" i="19"/>
  <c r="AC79" i="19"/>
  <c r="P80" i="19"/>
  <c r="Q80" i="19"/>
  <c r="V80" i="19"/>
  <c r="AB80" i="19"/>
  <c r="AC80" i="19"/>
  <c r="P81" i="19"/>
  <c r="Q81" i="19"/>
  <c r="X81" i="19" s="1"/>
  <c r="V81" i="19"/>
  <c r="AB81" i="19"/>
  <c r="AC81" i="19"/>
  <c r="P82" i="19"/>
  <c r="Q82" i="19"/>
  <c r="X82" i="19"/>
  <c r="V82" i="19"/>
  <c r="AB82" i="19"/>
  <c r="AC82" i="19"/>
  <c r="P83" i="19"/>
  <c r="Q83" i="19"/>
  <c r="V83" i="19"/>
  <c r="AB83" i="19"/>
  <c r="AC83" i="19"/>
  <c r="P84" i="19"/>
  <c r="Q84" i="19"/>
  <c r="V84" i="19"/>
  <c r="AB84" i="19"/>
  <c r="AC84" i="19"/>
  <c r="P85" i="19"/>
  <c r="Q85" i="19"/>
  <c r="V85" i="19"/>
  <c r="AB85" i="19"/>
  <c r="AC85" i="19"/>
  <c r="P86" i="19"/>
  <c r="Q86" i="19"/>
  <c r="W86" i="19" s="1"/>
  <c r="V86" i="19"/>
  <c r="AB86" i="19"/>
  <c r="AC86" i="19"/>
  <c r="P87" i="19"/>
  <c r="Q87" i="19"/>
  <c r="V87" i="19"/>
  <c r="AB87" i="19"/>
  <c r="AC87" i="19"/>
  <c r="P88" i="19"/>
  <c r="Q88" i="19"/>
  <c r="R88" i="19"/>
  <c r="V88" i="19"/>
  <c r="AB88" i="19"/>
  <c r="AC88" i="19"/>
  <c r="P89" i="19"/>
  <c r="Q89" i="19"/>
  <c r="R89" i="19"/>
  <c r="V89" i="19"/>
  <c r="AB89" i="19"/>
  <c r="AC89" i="19"/>
  <c r="P90" i="19"/>
  <c r="Q90" i="19"/>
  <c r="W90" i="19" s="1"/>
  <c r="V90" i="19"/>
  <c r="AB90" i="19"/>
  <c r="AC90" i="19"/>
  <c r="P91" i="19"/>
  <c r="Q91" i="19"/>
  <c r="V91" i="19"/>
  <c r="AB91" i="19"/>
  <c r="AC91" i="19"/>
  <c r="P92" i="19"/>
  <c r="Q92" i="19"/>
  <c r="U92" i="19" s="1"/>
  <c r="V92" i="19"/>
  <c r="AB92" i="19"/>
  <c r="AC92" i="19"/>
  <c r="O8" i="12"/>
  <c r="P8" i="12"/>
  <c r="U8" i="12"/>
  <c r="AA8" i="12"/>
  <c r="AA17" i="12" s="1"/>
  <c r="C57" i="5" s="1"/>
  <c r="AB8" i="12"/>
  <c r="O9" i="12"/>
  <c r="P9" i="12"/>
  <c r="U9" i="12"/>
  <c r="AA9" i="12"/>
  <c r="AB9" i="12"/>
  <c r="O10" i="12"/>
  <c r="P10" i="12"/>
  <c r="U10" i="12"/>
  <c r="AA10" i="12"/>
  <c r="AB10" i="12"/>
  <c r="O11" i="12"/>
  <c r="P11" i="12"/>
  <c r="U11" i="12"/>
  <c r="AA11" i="12"/>
  <c r="AB11" i="12"/>
  <c r="O12" i="12"/>
  <c r="P12" i="12"/>
  <c r="U12" i="12"/>
  <c r="AA12" i="12"/>
  <c r="AB12" i="12"/>
  <c r="O13" i="12"/>
  <c r="P13" i="12"/>
  <c r="U13" i="12"/>
  <c r="U17" i="12" s="1"/>
  <c r="AA13" i="12"/>
  <c r="AB13" i="12"/>
  <c r="O14" i="12"/>
  <c r="P14" i="12"/>
  <c r="U14" i="12"/>
  <c r="AA14" i="12"/>
  <c r="AB14" i="12"/>
  <c r="O15" i="12"/>
  <c r="P15" i="12"/>
  <c r="T15" i="12" s="1"/>
  <c r="U15" i="12"/>
  <c r="AA15" i="12"/>
  <c r="AB15" i="12"/>
  <c r="O16" i="12"/>
  <c r="P16" i="12"/>
  <c r="U16" i="12"/>
  <c r="AA16" i="12"/>
  <c r="AB16" i="12"/>
  <c r="D17" i="12"/>
  <c r="O8" i="11"/>
  <c r="P8" i="11"/>
  <c r="Q8" i="11" s="1"/>
  <c r="T8" i="11"/>
  <c r="U8" i="11"/>
  <c r="AA8" i="11"/>
  <c r="AB8" i="11"/>
  <c r="O9" i="11"/>
  <c r="P9" i="11"/>
  <c r="S9" i="11"/>
  <c r="Q9" i="11"/>
  <c r="R9" i="11"/>
  <c r="T9" i="11"/>
  <c r="U9" i="11"/>
  <c r="AA9" i="11"/>
  <c r="AB9" i="11"/>
  <c r="O10" i="11"/>
  <c r="P10" i="11"/>
  <c r="R10" i="11" s="1"/>
  <c r="T10" i="11"/>
  <c r="U10" i="11"/>
  <c r="AA10" i="11"/>
  <c r="AA14" i="11" s="1"/>
  <c r="C58" i="5" s="1"/>
  <c r="AB10" i="11"/>
  <c r="O11" i="11"/>
  <c r="P11" i="11"/>
  <c r="T11" i="11" s="1"/>
  <c r="S11" i="11"/>
  <c r="U11" i="11"/>
  <c r="AA11" i="11"/>
  <c r="AB11" i="11"/>
  <c r="O12" i="11"/>
  <c r="P12" i="11"/>
  <c r="T12" i="11"/>
  <c r="U12" i="11"/>
  <c r="AA12" i="11"/>
  <c r="AB12" i="11"/>
  <c r="O13" i="11"/>
  <c r="P13" i="11"/>
  <c r="T13" i="11" s="1"/>
  <c r="U13" i="11"/>
  <c r="AA13" i="11"/>
  <c r="AB13" i="11"/>
  <c r="D14" i="11"/>
  <c r="O8" i="10"/>
  <c r="P8" i="10"/>
  <c r="Q8" i="10"/>
  <c r="S8" i="10"/>
  <c r="U8" i="10"/>
  <c r="AA8" i="10"/>
  <c r="AB8" i="10"/>
  <c r="O9" i="10"/>
  <c r="P9" i="10"/>
  <c r="Q9" i="10"/>
  <c r="U9" i="10"/>
  <c r="U14" i="10" s="1"/>
  <c r="B59" i="5"/>
  <c r="AA9" i="10"/>
  <c r="AB9" i="10"/>
  <c r="O10" i="10"/>
  <c r="P10" i="10"/>
  <c r="U10" i="10"/>
  <c r="AA10" i="10"/>
  <c r="AB10" i="10"/>
  <c r="O11" i="10"/>
  <c r="P11" i="10"/>
  <c r="U11" i="10"/>
  <c r="AA11" i="10"/>
  <c r="AB11" i="10"/>
  <c r="O12" i="10"/>
  <c r="P12" i="10"/>
  <c r="Q12" i="10" s="1"/>
  <c r="T12" i="10"/>
  <c r="U12" i="10"/>
  <c r="AA12" i="10"/>
  <c r="AB12" i="10"/>
  <c r="O13" i="10"/>
  <c r="P13" i="10"/>
  <c r="Q13" i="10" s="1"/>
  <c r="R13" i="10"/>
  <c r="S13" i="10"/>
  <c r="U13" i="10"/>
  <c r="AA13" i="10"/>
  <c r="AB13" i="10"/>
  <c r="D14" i="10"/>
  <c r="O8" i="14"/>
  <c r="P8" i="14"/>
  <c r="U8" i="14"/>
  <c r="AA8" i="14"/>
  <c r="AB8" i="14"/>
  <c r="O9" i="14"/>
  <c r="P9" i="14"/>
  <c r="S9" i="14"/>
  <c r="T9" i="14"/>
  <c r="U9" i="14"/>
  <c r="AA9" i="14"/>
  <c r="AB9" i="14"/>
  <c r="O10" i="14"/>
  <c r="P10" i="14"/>
  <c r="U10" i="14"/>
  <c r="AA10" i="14"/>
  <c r="AB10" i="14"/>
  <c r="O11" i="14"/>
  <c r="P11" i="14"/>
  <c r="U11" i="14"/>
  <c r="AA11" i="14"/>
  <c r="AB11" i="14"/>
  <c r="O12" i="14"/>
  <c r="P12" i="14"/>
  <c r="U12" i="14"/>
  <c r="AA12" i="14"/>
  <c r="AB12" i="14"/>
  <c r="O13" i="14"/>
  <c r="P13" i="14"/>
  <c r="T13" i="14"/>
  <c r="U13" i="14"/>
  <c r="AA13" i="14"/>
  <c r="AB13" i="14"/>
  <c r="O14" i="14"/>
  <c r="P14" i="14"/>
  <c r="Q14" i="14"/>
  <c r="T14" i="14"/>
  <c r="U14" i="14"/>
  <c r="AA14" i="14"/>
  <c r="AA17" i="14" s="1"/>
  <c r="AB14" i="14"/>
  <c r="O15" i="14"/>
  <c r="P15" i="14"/>
  <c r="U15" i="14"/>
  <c r="AA15" i="14"/>
  <c r="AB15" i="14"/>
  <c r="O16" i="14"/>
  <c r="P16" i="14"/>
  <c r="U16" i="14"/>
  <c r="AA16" i="14"/>
  <c r="AB16" i="14"/>
  <c r="D17" i="14"/>
  <c r="I52" i="5"/>
  <c r="I55" i="5"/>
  <c r="I56" i="5"/>
  <c r="I58" i="5"/>
  <c r="I59" i="5"/>
  <c r="G79" i="5"/>
  <c r="D178" i="5"/>
  <c r="D179" i="5"/>
  <c r="D4" i="4"/>
  <c r="D5" i="4"/>
  <c r="F9" i="4"/>
  <c r="G9" i="4"/>
  <c r="H9" i="4"/>
  <c r="I9" i="4" s="1"/>
  <c r="F10" i="4"/>
  <c r="G10" i="4" s="1"/>
  <c r="H10" i="4"/>
  <c r="I10" i="4" s="1"/>
  <c r="H11" i="4"/>
  <c r="I11" i="4"/>
  <c r="J11" i="4"/>
  <c r="K11" i="4" s="1"/>
  <c r="L11" i="4" s="1"/>
  <c r="F12" i="4"/>
  <c r="G12" i="4"/>
  <c r="H12" i="4"/>
  <c r="I12" i="4" s="1"/>
  <c r="J12" i="4" s="1"/>
  <c r="K12" i="4" s="1"/>
  <c r="L12" i="4" s="1"/>
  <c r="H13" i="4"/>
  <c r="I13" i="4" s="1"/>
  <c r="F14" i="4"/>
  <c r="G14" i="4"/>
  <c r="H14" i="4"/>
  <c r="I14" i="4" s="1"/>
  <c r="J14" i="4" s="1"/>
  <c r="K14" i="4" s="1"/>
  <c r="L14" i="4" s="1"/>
  <c r="H15" i="4"/>
  <c r="I15" i="4" s="1"/>
  <c r="J15" i="4"/>
  <c r="K15" i="4" s="1"/>
  <c r="L15" i="4"/>
  <c r="F16" i="4"/>
  <c r="G16" i="4" s="1"/>
  <c r="H16" i="4"/>
  <c r="I16" i="4" s="1"/>
  <c r="J16" i="4" s="1"/>
  <c r="K16" i="4" s="1"/>
  <c r="L16" i="4" s="1"/>
  <c r="F17" i="4"/>
  <c r="G17" i="4"/>
  <c r="H17" i="4"/>
  <c r="I17" i="4"/>
  <c r="J17" i="4" s="1"/>
  <c r="K17" i="4" s="1"/>
  <c r="L17" i="4" s="1"/>
  <c r="H18" i="4"/>
  <c r="I18" i="4"/>
  <c r="J18" i="4" s="1"/>
  <c r="K18" i="4" s="1"/>
  <c r="L18" i="4" s="1"/>
  <c r="F19" i="4"/>
  <c r="G19" i="4" s="1"/>
  <c r="H19" i="4"/>
  <c r="I19" i="4" s="1"/>
  <c r="J19" i="4"/>
  <c r="K19" i="4" s="1"/>
  <c r="L19" i="4" s="1"/>
  <c r="H20" i="4"/>
  <c r="I20" i="4"/>
  <c r="J20" i="4" s="1"/>
  <c r="K20" i="4"/>
  <c r="L20" i="4" s="1"/>
  <c r="F21" i="4"/>
  <c r="G21" i="4" s="1"/>
  <c r="H21" i="4"/>
  <c r="I21" i="4" s="1"/>
  <c r="J21" i="4" s="1"/>
  <c r="K21" i="4" s="1"/>
  <c r="L21" i="4" s="1"/>
  <c r="H22" i="4"/>
  <c r="I22" i="4"/>
  <c r="J22" i="4"/>
  <c r="K22" i="4" s="1"/>
  <c r="L22" i="4" s="1"/>
  <c r="F23" i="4"/>
  <c r="G23" i="4" s="1"/>
  <c r="H23" i="4"/>
  <c r="I23" i="4" s="1"/>
  <c r="J23" i="4" s="1"/>
  <c r="K23" i="4" s="1"/>
  <c r="L23" i="4" s="1"/>
  <c r="G29" i="4"/>
  <c r="H29" i="4"/>
  <c r="I29" i="4"/>
  <c r="G30" i="4"/>
  <c r="H30" i="4"/>
  <c r="I30" i="4"/>
  <c r="J30" i="4"/>
  <c r="G31" i="4"/>
  <c r="H31" i="4"/>
  <c r="I31" i="4" s="1"/>
  <c r="J31" i="4" s="1"/>
  <c r="F32" i="4"/>
  <c r="G32" i="4"/>
  <c r="H32" i="4"/>
  <c r="I32" i="4" s="1"/>
  <c r="F33" i="4"/>
  <c r="G33" i="4"/>
  <c r="H33" i="4"/>
  <c r="I33" i="4"/>
  <c r="J33" i="4" s="1"/>
  <c r="F34" i="4"/>
  <c r="G34" i="4"/>
  <c r="H34" i="4"/>
  <c r="I34" i="4"/>
  <c r="J34" i="4" s="1"/>
  <c r="F35" i="4"/>
  <c r="G35" i="4"/>
  <c r="H35" i="4"/>
  <c r="I35" i="4" s="1"/>
  <c r="J35" i="4"/>
  <c r="F36" i="4"/>
  <c r="G36" i="4"/>
  <c r="H36" i="4"/>
  <c r="I36" i="4" s="1"/>
  <c r="J36" i="4" s="1"/>
  <c r="G37" i="4"/>
  <c r="H37" i="4"/>
  <c r="I37" i="4"/>
  <c r="J37" i="4" s="1"/>
  <c r="G38" i="4"/>
  <c r="H38" i="4"/>
  <c r="I38" i="4"/>
  <c r="J38" i="4" s="1"/>
  <c r="F39" i="4"/>
  <c r="G39" i="4"/>
  <c r="H39" i="4"/>
  <c r="I39" i="4" s="1"/>
  <c r="J39" i="4"/>
  <c r="F40" i="4"/>
  <c r="G40" i="4"/>
  <c r="H40" i="4"/>
  <c r="I40" i="4" s="1"/>
  <c r="J40" i="4" s="1"/>
  <c r="F41" i="4"/>
  <c r="G41" i="4"/>
  <c r="H41" i="4"/>
  <c r="I41" i="4"/>
  <c r="J41" i="4"/>
  <c r="F42" i="4"/>
  <c r="G42" i="4"/>
  <c r="H42" i="4"/>
  <c r="I42" i="4"/>
  <c r="J42" i="4" s="1"/>
  <c r="G43" i="4"/>
  <c r="H43" i="4"/>
  <c r="I43" i="4"/>
  <c r="J43" i="4"/>
  <c r="O8" i="15"/>
  <c r="AC8" i="15"/>
  <c r="AD8" i="15"/>
  <c r="O9" i="15"/>
  <c r="AC9" i="15"/>
  <c r="AD9" i="15"/>
  <c r="O10" i="15"/>
  <c r="AC10" i="15"/>
  <c r="AD10" i="15"/>
  <c r="O11" i="15"/>
  <c r="AC11" i="15"/>
  <c r="AD11" i="15"/>
  <c r="O12" i="15"/>
  <c r="R12" i="15"/>
  <c r="Y12" i="15"/>
  <c r="W12" i="15"/>
  <c r="AC12" i="15"/>
  <c r="AD12" i="15"/>
  <c r="O13" i="15"/>
  <c r="R13" i="15"/>
  <c r="Y13" i="15"/>
  <c r="W13" i="15"/>
  <c r="AC13" i="15"/>
  <c r="AD13" i="15"/>
  <c r="O14" i="15"/>
  <c r="R14" i="15"/>
  <c r="T14" i="15"/>
  <c r="W14" i="15"/>
  <c r="AC14" i="15"/>
  <c r="AD14" i="15"/>
  <c r="O15" i="15"/>
  <c r="R15" i="15"/>
  <c r="W15" i="15"/>
  <c r="AC15" i="15"/>
  <c r="AD15" i="15"/>
  <c r="O16" i="15"/>
  <c r="R16" i="15"/>
  <c r="W16" i="15"/>
  <c r="AC16" i="15"/>
  <c r="AD16" i="15"/>
  <c r="O17" i="15"/>
  <c r="R17" i="15"/>
  <c r="W17" i="15"/>
  <c r="AC17" i="15"/>
  <c r="AD17" i="15"/>
  <c r="O18" i="15"/>
  <c r="R18" i="15"/>
  <c r="W18" i="15"/>
  <c r="AC18" i="15"/>
  <c r="AD18" i="15"/>
  <c r="O19" i="15"/>
  <c r="R19" i="15"/>
  <c r="S19" i="15"/>
  <c r="W19" i="15"/>
  <c r="AC19" i="15"/>
  <c r="AD19" i="15"/>
  <c r="O20" i="15"/>
  <c r="R20" i="15"/>
  <c r="W20" i="15"/>
  <c r="AC20" i="15"/>
  <c r="AD20" i="15"/>
  <c r="O21" i="15"/>
  <c r="R21" i="15"/>
  <c r="W21" i="15"/>
  <c r="AC21" i="15"/>
  <c r="AD21" i="15"/>
  <c r="O22" i="15"/>
  <c r="R22" i="15"/>
  <c r="X22" i="15"/>
  <c r="W22" i="15"/>
  <c r="AC22" i="15"/>
  <c r="AD22" i="15"/>
  <c r="O23" i="15"/>
  <c r="R23" i="15"/>
  <c r="T23" i="15"/>
  <c r="W23" i="15"/>
  <c r="AC23" i="15"/>
  <c r="AD23" i="15"/>
  <c r="O24" i="15"/>
  <c r="R24" i="15"/>
  <c r="X24" i="15"/>
  <c r="W24" i="15"/>
  <c r="AC24" i="15"/>
  <c r="AD24" i="15"/>
  <c r="O25" i="15"/>
  <c r="R25" i="15"/>
  <c r="W25" i="15"/>
  <c r="AC25" i="15"/>
  <c r="AD25" i="15"/>
  <c r="O26" i="15"/>
  <c r="R26" i="15"/>
  <c r="Y26" i="15"/>
  <c r="W26" i="15"/>
  <c r="AC26" i="15"/>
  <c r="AD26" i="15"/>
  <c r="O27" i="15"/>
  <c r="R27" i="15"/>
  <c r="V27" i="15" s="1"/>
  <c r="W27" i="15"/>
  <c r="AC27" i="15"/>
  <c r="AD27" i="15"/>
  <c r="O28" i="15"/>
  <c r="R28" i="15"/>
  <c r="S28" i="15" s="1"/>
  <c r="W28" i="15"/>
  <c r="AC28" i="15"/>
  <c r="AD28" i="15"/>
  <c r="O29" i="15"/>
  <c r="R29" i="15"/>
  <c r="W29" i="15"/>
  <c r="AC29" i="15"/>
  <c r="AD29" i="15"/>
  <c r="O30" i="15"/>
  <c r="R30" i="15"/>
  <c r="X30" i="15" s="1"/>
  <c r="W30" i="15"/>
  <c r="AC30" i="15"/>
  <c r="AD30" i="15"/>
  <c r="O31" i="15"/>
  <c r="R31" i="15"/>
  <c r="V31" i="15" s="1"/>
  <c r="W31" i="15"/>
  <c r="AC31" i="15"/>
  <c r="AD31" i="15"/>
  <c r="O32" i="15"/>
  <c r="R32" i="15"/>
  <c r="U32" i="15"/>
  <c r="W32" i="15"/>
  <c r="AC32" i="15"/>
  <c r="AD32" i="15"/>
  <c r="O33" i="15"/>
  <c r="R33" i="15"/>
  <c r="V33" i="15"/>
  <c r="W33" i="15"/>
  <c r="AC33" i="15"/>
  <c r="AD33" i="15"/>
  <c r="O34" i="15"/>
  <c r="R34" i="15"/>
  <c r="Y34" i="15" s="1"/>
  <c r="W34" i="15"/>
  <c r="AC34" i="15"/>
  <c r="AD34" i="15"/>
  <c r="O35" i="15"/>
  <c r="R35" i="15"/>
  <c r="U35" i="15" s="1"/>
  <c r="W35" i="15"/>
  <c r="AC35" i="15"/>
  <c r="AD35" i="15"/>
  <c r="O36" i="15"/>
  <c r="R36" i="15"/>
  <c r="W36" i="15"/>
  <c r="AC36" i="15"/>
  <c r="AD36" i="15"/>
  <c r="O37" i="15"/>
  <c r="R37" i="15"/>
  <c r="U37" i="15"/>
  <c r="W37" i="15"/>
  <c r="AC37" i="15"/>
  <c r="AD37" i="15"/>
  <c r="O38" i="15"/>
  <c r="R38" i="15"/>
  <c r="V38" i="15" s="1"/>
  <c r="T38" i="15"/>
  <c r="W38" i="15"/>
  <c r="AC38" i="15"/>
  <c r="AD38" i="15"/>
  <c r="O39" i="15"/>
  <c r="R39" i="15"/>
  <c r="U39" i="15"/>
  <c r="W39" i="15"/>
  <c r="AC39" i="15"/>
  <c r="AD39" i="15"/>
  <c r="O40" i="15"/>
  <c r="R40" i="15"/>
  <c r="S40" i="15"/>
  <c r="W40" i="15"/>
  <c r="AC40" i="15"/>
  <c r="AD40" i="15"/>
  <c r="O41" i="15"/>
  <c r="R41" i="15"/>
  <c r="T41" i="15"/>
  <c r="W41" i="15"/>
  <c r="AC41" i="15"/>
  <c r="AD41" i="15"/>
  <c r="O42" i="15"/>
  <c r="R42" i="15"/>
  <c r="S42" i="15"/>
  <c r="U42" i="15"/>
  <c r="W42" i="15"/>
  <c r="AC42" i="15"/>
  <c r="AD42" i="15"/>
  <c r="O43" i="15"/>
  <c r="R43" i="15"/>
  <c r="T43" i="15" s="1"/>
  <c r="W43" i="15"/>
  <c r="AC43" i="15"/>
  <c r="AD43" i="15"/>
  <c r="O44" i="15"/>
  <c r="R44" i="15"/>
  <c r="U44" i="15" s="1"/>
  <c r="W44" i="15"/>
  <c r="AC44" i="15"/>
  <c r="AD44" i="15"/>
  <c r="O45" i="15"/>
  <c r="R45" i="15"/>
  <c r="AC45" i="15"/>
  <c r="O46" i="15"/>
  <c r="R46" i="15"/>
  <c r="X46" i="15" s="1"/>
  <c r="W46" i="15"/>
  <c r="AC46" i="15"/>
  <c r="AD46" i="15"/>
  <c r="O47" i="15"/>
  <c r="R47" i="15"/>
  <c r="V47" i="15" s="1"/>
  <c r="W47" i="15"/>
  <c r="AC47" i="15"/>
  <c r="AD47" i="15"/>
  <c r="O48" i="15"/>
  <c r="R48" i="15"/>
  <c r="W48" i="15"/>
  <c r="AC48" i="15"/>
  <c r="AD48" i="15"/>
  <c r="O49" i="15"/>
  <c r="R49" i="15"/>
  <c r="S49" i="15"/>
  <c r="W49" i="15"/>
  <c r="AC49" i="15"/>
  <c r="AD49" i="15"/>
  <c r="O50" i="15"/>
  <c r="R50" i="15"/>
  <c r="X50" i="15" s="1"/>
  <c r="W50" i="15"/>
  <c r="AC50" i="15"/>
  <c r="AD50" i="15"/>
  <c r="O51" i="15"/>
  <c r="R51" i="15"/>
  <c r="V51" i="15" s="1"/>
  <c r="W51" i="15"/>
  <c r="AC51" i="15"/>
  <c r="AD51" i="15"/>
  <c r="O52" i="15"/>
  <c r="R52" i="15"/>
  <c r="W52" i="15"/>
  <c r="AC52" i="15"/>
  <c r="AD52" i="15"/>
  <c r="O64" i="15"/>
  <c r="R64" i="15"/>
  <c r="S64" i="15"/>
  <c r="V64" i="15"/>
  <c r="W64" i="15"/>
  <c r="AC64" i="15"/>
  <c r="AD64" i="15"/>
  <c r="O65" i="15"/>
  <c r="R65" i="15"/>
  <c r="T65" i="15"/>
  <c r="W65" i="15"/>
  <c r="AC65" i="15"/>
  <c r="AD65" i="15"/>
  <c r="O66" i="15"/>
  <c r="R66" i="15"/>
  <c r="V66" i="15"/>
  <c r="W66" i="15"/>
  <c r="AC66" i="15"/>
  <c r="AD66" i="15"/>
  <c r="O67" i="15"/>
  <c r="R67" i="15"/>
  <c r="T67" i="15"/>
  <c r="W67" i="15"/>
  <c r="AC67" i="15"/>
  <c r="AD67" i="15"/>
  <c r="O68" i="15"/>
  <c r="R68" i="15"/>
  <c r="W68" i="15"/>
  <c r="AC68" i="15"/>
  <c r="AD68" i="15"/>
  <c r="O69" i="15"/>
  <c r="R69" i="15"/>
  <c r="T69" i="15" s="1"/>
  <c r="W69" i="15"/>
  <c r="AC69" i="15"/>
  <c r="AD69" i="15"/>
  <c r="O70" i="15"/>
  <c r="R70" i="15"/>
  <c r="X70" i="15" s="1"/>
  <c r="W70" i="15"/>
  <c r="AC70" i="15"/>
  <c r="AD70" i="15"/>
  <c r="O71" i="15"/>
  <c r="R71" i="15"/>
  <c r="U71" i="15" s="1"/>
  <c r="W71" i="15"/>
  <c r="AC71" i="15"/>
  <c r="AD71" i="15"/>
  <c r="O72" i="15"/>
  <c r="R72" i="15"/>
  <c r="Y72" i="15"/>
  <c r="W72" i="15"/>
  <c r="AC72" i="15"/>
  <c r="AD72" i="15"/>
  <c r="O73" i="15"/>
  <c r="R73" i="15"/>
  <c r="W73" i="15"/>
  <c r="AC73" i="15"/>
  <c r="AD73" i="15"/>
  <c r="O74" i="15"/>
  <c r="R74" i="15"/>
  <c r="W74" i="15"/>
  <c r="AC74" i="15"/>
  <c r="AD74" i="15"/>
  <c r="O75" i="15"/>
  <c r="R75" i="15"/>
  <c r="V75" i="15"/>
  <c r="W75" i="15"/>
  <c r="AC75" i="15"/>
  <c r="AD75" i="15"/>
  <c r="O76" i="15"/>
  <c r="R76" i="15"/>
  <c r="Y76" i="15" s="1"/>
  <c r="W76" i="15"/>
  <c r="AC76" i="15"/>
  <c r="AD76" i="15"/>
  <c r="O77" i="15"/>
  <c r="R77" i="15"/>
  <c r="W77" i="15"/>
  <c r="AC77" i="15"/>
  <c r="AD77" i="15"/>
  <c r="O78" i="15"/>
  <c r="R78" i="15"/>
  <c r="Y78" i="15"/>
  <c r="W78" i="15"/>
  <c r="AC78" i="15"/>
  <c r="AD78" i="15"/>
  <c r="O79" i="15"/>
  <c r="R79" i="15"/>
  <c r="Y79" i="15"/>
  <c r="W79" i="15"/>
  <c r="AC79" i="15"/>
  <c r="AD79" i="15"/>
  <c r="O80" i="15"/>
  <c r="R80" i="15"/>
  <c r="W80" i="15"/>
  <c r="AC80" i="15"/>
  <c r="AD80" i="15"/>
  <c r="O81" i="15"/>
  <c r="R81" i="15"/>
  <c r="W81" i="15"/>
  <c r="AC81" i="15"/>
  <c r="AD81" i="15"/>
  <c r="O82" i="15"/>
  <c r="R82" i="15"/>
  <c r="V82" i="15"/>
  <c r="O83" i="15"/>
  <c r="R83" i="15"/>
  <c r="T83" i="15"/>
  <c r="W83" i="15"/>
  <c r="AC83" i="15"/>
  <c r="AD83" i="15"/>
  <c r="O84" i="15"/>
  <c r="R84" i="15"/>
  <c r="V84" i="15"/>
  <c r="W84" i="15"/>
  <c r="AC84" i="15"/>
  <c r="AD84" i="15"/>
  <c r="O85" i="15"/>
  <c r="R85" i="15"/>
  <c r="X85" i="15"/>
  <c r="W85" i="15"/>
  <c r="AC85" i="15"/>
  <c r="AD85" i="15"/>
  <c r="O97" i="15"/>
  <c r="R97" i="15"/>
  <c r="Y97" i="15" s="1"/>
  <c r="T97" i="15"/>
  <c r="W97" i="15"/>
  <c r="O98" i="15"/>
  <c r="R98" i="15"/>
  <c r="W98" i="15"/>
  <c r="AC98" i="15"/>
  <c r="AD98" i="15"/>
  <c r="O99" i="15"/>
  <c r="R99" i="15"/>
  <c r="W99" i="15"/>
  <c r="AC99" i="15"/>
  <c r="AD99" i="15"/>
  <c r="O100" i="15"/>
  <c r="R100" i="15"/>
  <c r="X100" i="15" s="1"/>
  <c r="W100" i="15"/>
  <c r="AC100" i="15"/>
  <c r="AD100" i="15"/>
  <c r="O101" i="15"/>
  <c r="R101" i="15"/>
  <c r="W101" i="15"/>
  <c r="AC101" i="15"/>
  <c r="AD101" i="15"/>
  <c r="O102" i="15"/>
  <c r="R102" i="15"/>
  <c r="W102" i="15"/>
  <c r="AC102" i="15"/>
  <c r="AD102" i="15"/>
  <c r="O103" i="15"/>
  <c r="R103" i="15"/>
  <c r="X103" i="15" s="1"/>
  <c r="W103" i="15"/>
  <c r="AC103" i="15"/>
  <c r="AD103" i="15"/>
  <c r="O104" i="15"/>
  <c r="R104" i="15"/>
  <c r="W104" i="15"/>
  <c r="AC104" i="15"/>
  <c r="AD104" i="15"/>
  <c r="O105" i="15"/>
  <c r="R105" i="15"/>
  <c r="V105" i="15"/>
  <c r="W105" i="15"/>
  <c r="AC105" i="15"/>
  <c r="AD105" i="15"/>
  <c r="O106" i="15"/>
  <c r="R106" i="15"/>
  <c r="S106" i="15" s="1"/>
  <c r="W106" i="15"/>
  <c r="AC106" i="15"/>
  <c r="AD106" i="15"/>
  <c r="O107" i="15"/>
  <c r="R107" i="15"/>
  <c r="AC107" i="15"/>
  <c r="O108" i="15"/>
  <c r="R108" i="15"/>
  <c r="X108" i="15"/>
  <c r="S108" i="15"/>
  <c r="W108" i="15"/>
  <c r="AC108" i="15"/>
  <c r="AD108" i="15"/>
  <c r="O109" i="15"/>
  <c r="R109" i="15"/>
  <c r="Y109" i="15" s="1"/>
  <c r="O110" i="15"/>
  <c r="R110" i="15"/>
  <c r="W110" i="15"/>
  <c r="AC110" i="15"/>
  <c r="AD110" i="15"/>
  <c r="O111" i="15"/>
  <c r="R111" i="15"/>
  <c r="X111" i="15" s="1"/>
  <c r="W111" i="15"/>
  <c r="AC111" i="15"/>
  <c r="AD111" i="15"/>
  <c r="O112" i="15"/>
  <c r="R112" i="15"/>
  <c r="W112" i="15"/>
  <c r="AC112" i="15"/>
  <c r="AD112" i="15"/>
  <c r="O113" i="15"/>
  <c r="R113" i="15"/>
  <c r="S113" i="15"/>
  <c r="W113" i="15"/>
  <c r="AC113" i="15"/>
  <c r="AD113" i="15"/>
  <c r="O114" i="15"/>
  <c r="R114" i="15"/>
  <c r="Y114" i="15"/>
  <c r="W114" i="15"/>
  <c r="AC114" i="15"/>
  <c r="AD114" i="15"/>
  <c r="O115" i="15"/>
  <c r="R115" i="15"/>
  <c r="V115" i="15"/>
  <c r="W115" i="15"/>
  <c r="AC115" i="15"/>
  <c r="AD115" i="15"/>
  <c r="Z116" i="15"/>
  <c r="AA116" i="15"/>
  <c r="AB116" i="15"/>
  <c r="Q15" i="12"/>
  <c r="R15" i="12"/>
  <c r="S113" i="18"/>
  <c r="T80" i="18"/>
  <c r="S49" i="18"/>
  <c r="Q49" i="18"/>
  <c r="T49" i="18"/>
  <c r="S10" i="14"/>
  <c r="S8" i="11"/>
  <c r="S108" i="18"/>
  <c r="T108" i="18"/>
  <c r="S37" i="18"/>
  <c r="T12" i="18"/>
  <c r="R14" i="14"/>
  <c r="S14" i="14"/>
  <c r="Q9" i="14"/>
  <c r="R9" i="14"/>
  <c r="S12" i="11"/>
  <c r="Q129" i="18"/>
  <c r="T128" i="18"/>
  <c r="Q96" i="18"/>
  <c r="T65" i="18"/>
  <c r="R33" i="18"/>
  <c r="S33" i="18"/>
  <c r="R81" i="18"/>
  <c r="S81" i="18"/>
  <c r="Q81" i="18"/>
  <c r="T81" i="18"/>
  <c r="Q16" i="18"/>
  <c r="T16" i="18"/>
  <c r="R10" i="10"/>
  <c r="S76" i="18"/>
  <c r="R69" i="18"/>
  <c r="R44" i="18"/>
  <c r="Q13" i="14"/>
  <c r="T10" i="14"/>
  <c r="Q11" i="11"/>
  <c r="R11" i="11"/>
  <c r="R14" i="11" s="1"/>
  <c r="C82" i="5" s="1"/>
  <c r="B117" i="5" s="1"/>
  <c r="F117" i="5" s="1"/>
  <c r="Q92" i="18"/>
  <c r="R85" i="18"/>
  <c r="T85" i="18"/>
  <c r="S60" i="18"/>
  <c r="T60" i="18"/>
  <c r="S53" i="18"/>
  <c r="T53" i="18"/>
  <c r="R21" i="18"/>
  <c r="S21" i="18"/>
  <c r="S16" i="18"/>
  <c r="R132" i="18"/>
  <c r="R121" i="18"/>
  <c r="S121" i="18"/>
  <c r="Q100" i="18"/>
  <c r="R89" i="18"/>
  <c r="R57" i="18"/>
  <c r="Q52" i="18"/>
  <c r="R25" i="18"/>
  <c r="S25" i="18"/>
  <c r="Q20" i="18"/>
  <c r="R20" i="18"/>
  <c r="R9" i="18"/>
  <c r="R125" i="18"/>
  <c r="S125" i="18"/>
  <c r="Q120" i="18"/>
  <c r="S93" i="18"/>
  <c r="R61" i="18"/>
  <c r="R45" i="18"/>
  <c r="S45" i="18"/>
  <c r="Q40" i="18"/>
  <c r="R29" i="18"/>
  <c r="S29" i="18"/>
  <c r="Q24" i="18"/>
  <c r="R8" i="18"/>
  <c r="T90" i="6"/>
  <c r="S30" i="6"/>
  <c r="T10" i="6"/>
  <c r="U75" i="6"/>
  <c r="Q18" i="2"/>
  <c r="Q120" i="2"/>
  <c r="Q117" i="2"/>
  <c r="U34" i="6"/>
  <c r="T131" i="2"/>
  <c r="U47" i="2"/>
  <c r="AB61" i="2"/>
  <c r="D139" i="2"/>
  <c r="AB47" i="2"/>
  <c r="AA59" i="2"/>
  <c r="AD82" i="15"/>
  <c r="T76" i="6"/>
  <c r="U57" i="6"/>
  <c r="T78" i="6"/>
  <c r="U23" i="6"/>
  <c r="S81" i="6"/>
  <c r="R90" i="6"/>
  <c r="Q65" i="2"/>
  <c r="R98" i="2"/>
  <c r="AC42" i="3"/>
  <c r="T11" i="3"/>
  <c r="R44" i="3"/>
  <c r="U11" i="3"/>
  <c r="S47" i="3"/>
  <c r="T128" i="2"/>
  <c r="R87" i="2"/>
  <c r="T24" i="2"/>
  <c r="R109" i="2"/>
  <c r="T34" i="2"/>
  <c r="R81" i="6"/>
  <c r="S78" i="6"/>
  <c r="U78" i="6"/>
  <c r="W45" i="15"/>
  <c r="AC82" i="15"/>
  <c r="AD107" i="15"/>
  <c r="AD109" i="15"/>
  <c r="W109" i="15"/>
  <c r="D116" i="15"/>
  <c r="S64" i="6"/>
  <c r="S66" i="6"/>
  <c r="F15" i="4"/>
  <c r="G15" i="4" s="1"/>
  <c r="W17" i="14"/>
  <c r="T9" i="12"/>
  <c r="S15" i="12"/>
  <c r="Q9" i="12"/>
  <c r="R84" i="2"/>
  <c r="T111" i="2"/>
  <c r="Q98" i="2"/>
  <c r="S80" i="2"/>
  <c r="Q23" i="2"/>
  <c r="S70" i="2"/>
  <c r="T76" i="2"/>
  <c r="S125" i="2"/>
  <c r="R123" i="2"/>
  <c r="X81" i="6"/>
  <c r="T81" i="6"/>
  <c r="S59" i="6"/>
  <c r="S56" i="6"/>
  <c r="T28" i="6"/>
  <c r="S17" i="6"/>
  <c r="X63" i="6"/>
  <c r="W18" i="6"/>
  <c r="R66" i="6"/>
  <c r="R37" i="6"/>
  <c r="U81" i="6"/>
  <c r="U76" i="6"/>
  <c r="T63" i="6"/>
  <c r="U45" i="6"/>
  <c r="W10" i="6"/>
  <c r="X90" i="6"/>
  <c r="W69" i="6"/>
  <c r="W45" i="6"/>
  <c r="I61" i="5"/>
  <c r="I60" i="5"/>
  <c r="I57" i="5"/>
  <c r="I53" i="5"/>
  <c r="S10" i="6"/>
  <c r="X61" i="6"/>
  <c r="U60" i="6"/>
  <c r="Q63" i="2"/>
  <c r="T129" i="2"/>
  <c r="S78" i="2"/>
  <c r="R8" i="2"/>
  <c r="R111" i="2"/>
  <c r="S67" i="2"/>
  <c r="S118" i="2"/>
  <c r="T83" i="2"/>
  <c r="Q127" i="2"/>
  <c r="R80" i="2"/>
  <c r="R105" i="2"/>
  <c r="T105" i="2"/>
  <c r="T135" i="2"/>
  <c r="S108" i="2"/>
  <c r="Q92" i="2"/>
  <c r="S37" i="2"/>
  <c r="R51" i="2"/>
  <c r="S51" i="2"/>
  <c r="T51" i="2"/>
  <c r="S20" i="2"/>
  <c r="Q108" i="2"/>
  <c r="T116" i="2"/>
  <c r="Q116" i="2"/>
  <c r="S82" i="2"/>
  <c r="S59" i="2"/>
  <c r="Q29" i="2"/>
  <c r="S29" i="2"/>
  <c r="S92" i="2"/>
  <c r="R133" i="2"/>
  <c r="R131" i="2"/>
  <c r="R127" i="2"/>
  <c r="S127" i="2"/>
  <c r="Q105" i="2"/>
  <c r="S84" i="2"/>
  <c r="Q84" i="2"/>
  <c r="Q79" i="2"/>
  <c r="T68" i="2"/>
  <c r="S22" i="2"/>
  <c r="S42" i="2"/>
  <c r="T89" i="2"/>
  <c r="S89" i="2"/>
  <c r="S74" i="2"/>
  <c r="R62" i="2"/>
  <c r="Q43" i="2"/>
  <c r="R24" i="2"/>
  <c r="Q74" i="2"/>
  <c r="S24" i="2"/>
  <c r="S94" i="2"/>
  <c r="R94" i="2"/>
  <c r="Q91" i="2"/>
  <c r="S17" i="2"/>
  <c r="T107" i="2"/>
  <c r="T32" i="2"/>
  <c r="R32" i="2"/>
  <c r="Q28" i="2"/>
  <c r="R19" i="2"/>
  <c r="Q57" i="2"/>
  <c r="R38" i="2"/>
  <c r="Q38" i="2"/>
  <c r="R66" i="2"/>
  <c r="Q66" i="2"/>
  <c r="I54" i="5"/>
  <c r="R68" i="2"/>
  <c r="T66" i="2"/>
  <c r="S138" i="2"/>
  <c r="T106" i="2"/>
  <c r="Q70" i="2"/>
  <c r="S60" i="2"/>
  <c r="T52" i="2"/>
  <c r="Q118" i="2"/>
  <c r="S103" i="2"/>
  <c r="R135" i="2"/>
  <c r="R108" i="2"/>
  <c r="S129" i="2"/>
  <c r="T102" i="2"/>
  <c r="I15" i="5"/>
  <c r="T72" i="6"/>
  <c r="R61" i="6"/>
  <c r="T61" i="6"/>
  <c r="T58" i="6"/>
  <c r="S51" i="6"/>
  <c r="W51" i="6"/>
  <c r="T21" i="6"/>
  <c r="U63" i="6"/>
  <c r="W63" i="6"/>
  <c r="T50" i="6"/>
  <c r="W47" i="6"/>
  <c r="X47" i="6"/>
  <c r="T30" i="6"/>
  <c r="S28" i="6"/>
  <c r="W28" i="6"/>
  <c r="R28" i="6"/>
  <c r="X28" i="6"/>
  <c r="X21" i="6"/>
  <c r="T13" i="6"/>
  <c r="U30" i="6"/>
  <c r="X76" i="6"/>
  <c r="S76" i="6"/>
  <c r="R76" i="6"/>
  <c r="U59" i="6"/>
  <c r="T59" i="6"/>
  <c r="W33" i="6"/>
  <c r="R27" i="6"/>
  <c r="X23" i="6"/>
  <c r="X59" i="6"/>
  <c r="R75" i="6"/>
  <c r="T74" i="6"/>
  <c r="Q16" i="12"/>
  <c r="T16" i="12"/>
  <c r="R16" i="12"/>
  <c r="S16" i="12"/>
  <c r="S13" i="12"/>
  <c r="R13" i="12"/>
  <c r="T13" i="12"/>
  <c r="S11" i="12"/>
  <c r="Q11" i="12"/>
  <c r="T11" i="12"/>
  <c r="R11" i="12"/>
  <c r="Q13" i="12"/>
  <c r="S14" i="12"/>
  <c r="T14" i="12"/>
  <c r="R14" i="12"/>
  <c r="Q14" i="12"/>
  <c r="T112" i="18"/>
  <c r="Q65" i="18"/>
  <c r="Q80" i="18"/>
  <c r="S13" i="18"/>
  <c r="S109" i="18"/>
  <c r="Q36" i="18"/>
  <c r="R105" i="18"/>
  <c r="T28" i="18"/>
  <c r="Q60" i="18"/>
  <c r="S112" i="18"/>
  <c r="R112" i="18"/>
  <c r="R65" i="18"/>
  <c r="R108" i="18"/>
  <c r="T119" i="18"/>
  <c r="T103" i="18"/>
  <c r="R24" i="18"/>
  <c r="S61" i="18"/>
  <c r="R109" i="18"/>
  <c r="S89" i="18"/>
  <c r="S28" i="18"/>
  <c r="R53" i="18"/>
  <c r="Q124" i="18"/>
  <c r="R128" i="18"/>
  <c r="S12" i="18"/>
  <c r="S101" i="18"/>
  <c r="Q127" i="18"/>
  <c r="R119" i="18"/>
  <c r="T110" i="18"/>
  <c r="Q109" i="18"/>
  <c r="R103" i="18"/>
  <c r="Q78" i="18"/>
  <c r="T75" i="18"/>
  <c r="T67" i="18"/>
  <c r="T63" i="18"/>
  <c r="Q61" i="18"/>
  <c r="Q58" i="18"/>
  <c r="S55" i="18"/>
  <c r="S42" i="18"/>
  <c r="T34" i="18"/>
  <c r="T22" i="18"/>
  <c r="R14" i="18"/>
  <c r="T90" i="18"/>
  <c r="R13" i="18"/>
  <c r="S77" i="18"/>
  <c r="R104" i="18"/>
  <c r="S41" i="18"/>
  <c r="Q132" i="18"/>
  <c r="T92" i="18"/>
  <c r="Q44" i="18"/>
  <c r="T48" i="18"/>
  <c r="S97" i="18"/>
  <c r="R101" i="18"/>
  <c r="T135" i="18"/>
  <c r="T134" i="18"/>
  <c r="T131" i="18"/>
  <c r="T130" i="18"/>
  <c r="R90" i="18"/>
  <c r="T87" i="18"/>
  <c r="R66" i="18"/>
  <c r="S63" i="18"/>
  <c r="T31" i="18"/>
  <c r="T30" i="18"/>
  <c r="S27" i="18"/>
  <c r="S19" i="18"/>
  <c r="T18" i="18"/>
  <c r="T123" i="18"/>
  <c r="T27" i="18"/>
  <c r="T19" i="18"/>
  <c r="R56" i="18"/>
  <c r="R88" i="18"/>
  <c r="Q104" i="18"/>
  <c r="R41" i="18"/>
  <c r="S92" i="18"/>
  <c r="T117" i="18"/>
  <c r="T44" i="18"/>
  <c r="S135" i="18"/>
  <c r="Q134" i="18"/>
  <c r="T132" i="18"/>
  <c r="S131" i="18"/>
  <c r="R130" i="18"/>
  <c r="T126" i="18"/>
  <c r="R123" i="18"/>
  <c r="T111" i="18"/>
  <c r="T104" i="18"/>
  <c r="Q90" i="18"/>
  <c r="R87" i="18"/>
  <c r="R86" i="18"/>
  <c r="T70" i="18"/>
  <c r="Q66" i="18"/>
  <c r="R63" i="18"/>
  <c r="T52" i="18"/>
  <c r="S47" i="18"/>
  <c r="Q43" i="18"/>
  <c r="T38" i="18"/>
  <c r="T36" i="18"/>
  <c r="R35" i="18"/>
  <c r="S31" i="18"/>
  <c r="Q30" i="18"/>
  <c r="R27" i="18"/>
  <c r="T23" i="18"/>
  <c r="S22" i="18"/>
  <c r="T20" i="18"/>
  <c r="R19" i="18"/>
  <c r="R18" i="18"/>
  <c r="T13" i="18"/>
  <c r="S11" i="18"/>
  <c r="Q88" i="18"/>
  <c r="R36" i="18"/>
  <c r="R52" i="18"/>
  <c r="R117" i="18"/>
  <c r="T101" i="18"/>
  <c r="Q135" i="18"/>
  <c r="S134" i="18"/>
  <c r="R131" i="18"/>
  <c r="S130" i="18"/>
  <c r="T127" i="18"/>
  <c r="S126" i="18"/>
  <c r="R111" i="18"/>
  <c r="S95" i="18"/>
  <c r="S88" i="18"/>
  <c r="Q87" i="18"/>
  <c r="R74" i="18"/>
  <c r="Q70" i="18"/>
  <c r="S68" i="18"/>
  <c r="S59" i="18"/>
  <c r="Q54" i="18"/>
  <c r="Q41" i="18"/>
  <c r="T39" i="18"/>
  <c r="S38" i="18"/>
  <c r="Q31" i="18"/>
  <c r="S30" i="18"/>
  <c r="R23" i="18"/>
  <c r="Q18" i="18"/>
  <c r="R30" i="19"/>
  <c r="S18" i="19"/>
  <c r="U66" i="19"/>
  <c r="T30" i="19"/>
  <c r="R46" i="19"/>
  <c r="S30" i="19"/>
  <c r="U34" i="19"/>
  <c r="S42" i="19"/>
  <c r="R34" i="19"/>
  <c r="U83" i="19"/>
  <c r="R74" i="19"/>
  <c r="T63" i="19"/>
  <c r="R50" i="19"/>
  <c r="S60" i="19"/>
  <c r="R14" i="19"/>
  <c r="W136" i="18"/>
  <c r="R77" i="18"/>
  <c r="R93" i="18"/>
  <c r="R84" i="18"/>
  <c r="R100" i="18"/>
  <c r="R116" i="18"/>
  <c r="S48" i="18"/>
  <c r="S80" i="18"/>
  <c r="T124" i="18"/>
  <c r="T17" i="18"/>
  <c r="R48" i="18"/>
  <c r="S129" i="18"/>
  <c r="R113" i="18"/>
  <c r="T118" i="18"/>
  <c r="Q117" i="18"/>
  <c r="T115" i="18"/>
  <c r="T107" i="18"/>
  <c r="T106" i="18"/>
  <c r="T105" i="18"/>
  <c r="R95" i="18"/>
  <c r="S94" i="18"/>
  <c r="Q85" i="18"/>
  <c r="T83" i="18"/>
  <c r="T82" i="18"/>
  <c r="Q79" i="18"/>
  <c r="S78" i="18"/>
  <c r="Q74" i="18"/>
  <c r="Q62" i="18"/>
  <c r="Q59" i="18"/>
  <c r="S58" i="18"/>
  <c r="T56" i="18"/>
  <c r="Q55" i="18"/>
  <c r="S54" i="18"/>
  <c r="Q50" i="18"/>
  <c r="T26" i="18"/>
  <c r="T25" i="18"/>
  <c r="Q14" i="18"/>
  <c r="Q11" i="18"/>
  <c r="T72" i="18"/>
  <c r="Q37" i="18"/>
  <c r="R37" i="18"/>
  <c r="R26" i="18"/>
  <c r="Q133" i="18"/>
  <c r="T133" i="18"/>
  <c r="R72" i="18"/>
  <c r="Q84" i="18"/>
  <c r="Q116" i="18"/>
  <c r="S124" i="18"/>
  <c r="Q17" i="18"/>
  <c r="T97" i="18"/>
  <c r="R129" i="18"/>
  <c r="R133" i="18"/>
  <c r="R118" i="18"/>
  <c r="R115" i="18"/>
  <c r="S107" i="18"/>
  <c r="R106" i="18"/>
  <c r="S83" i="18"/>
  <c r="Q82" i="18"/>
  <c r="Q56" i="18"/>
  <c r="Q72" i="18"/>
  <c r="S9" i="18"/>
  <c r="S57" i="18"/>
  <c r="S105" i="18"/>
  <c r="R17" i="18"/>
  <c r="T33" i="18"/>
  <c r="Q97" i="18"/>
  <c r="Q128" i="18"/>
  <c r="Q113" i="18"/>
  <c r="S127" i="18"/>
  <c r="Q126" i="18"/>
  <c r="R122" i="18"/>
  <c r="Q118" i="18"/>
  <c r="S116" i="18"/>
  <c r="Q115" i="18"/>
  <c r="R107" i="18"/>
  <c r="S106" i="18"/>
  <c r="S103" i="18"/>
  <c r="R102" i="18"/>
  <c r="T95" i="18"/>
  <c r="T94" i="18"/>
  <c r="T93" i="18"/>
  <c r="R91" i="18"/>
  <c r="T84" i="18"/>
  <c r="Q83" i="18"/>
  <c r="S82" i="18"/>
  <c r="T79" i="18"/>
  <c r="T78" i="18"/>
  <c r="Q77" i="18"/>
  <c r="T74" i="18"/>
  <c r="R70" i="18"/>
  <c r="R67" i="18"/>
  <c r="T62" i="18"/>
  <c r="T59" i="18"/>
  <c r="T58" i="18"/>
  <c r="Q57" i="18"/>
  <c r="T55" i="18"/>
  <c r="T54" i="18"/>
  <c r="T50" i="18"/>
  <c r="R46" i="18"/>
  <c r="S43" i="18"/>
  <c r="S39" i="18"/>
  <c r="Q38" i="18"/>
  <c r="S35" i="18"/>
  <c r="R34" i="18"/>
  <c r="S26" i="18"/>
  <c r="S23" i="18"/>
  <c r="R22" i="18"/>
  <c r="T14" i="18"/>
  <c r="T11" i="18"/>
  <c r="Q9" i="18"/>
  <c r="V136" i="18"/>
  <c r="X54" i="19"/>
  <c r="S14" i="19"/>
  <c r="W29" i="19"/>
  <c r="T36" i="19"/>
  <c r="S74" i="19"/>
  <c r="S34" i="19"/>
  <c r="U60" i="19"/>
  <c r="S52" i="19"/>
  <c r="X92" i="19"/>
  <c r="F20" i="4"/>
  <c r="G20" i="4" s="1"/>
  <c r="G18" i="4"/>
  <c r="AB9" i="19"/>
  <c r="U22" i="19"/>
  <c r="W50" i="19"/>
  <c r="S32" i="19"/>
  <c r="AB78" i="19"/>
  <c r="T66" i="19"/>
  <c r="X87" i="6"/>
  <c r="S74" i="6"/>
  <c r="R72" i="6"/>
  <c r="X56" i="6"/>
  <c r="U56" i="6"/>
  <c r="T38" i="6"/>
  <c r="X72" i="6"/>
  <c r="R30" i="6"/>
  <c r="U87" i="6"/>
  <c r="W21" i="6"/>
  <c r="S72" i="6"/>
  <c r="W37" i="6"/>
  <c r="S37" i="6"/>
  <c r="U84" i="6"/>
  <c r="T84" i="6"/>
  <c r="T79" i="6"/>
  <c r="U79" i="6"/>
  <c r="X66" i="6"/>
  <c r="T66" i="6"/>
  <c r="T37" i="6"/>
  <c r="U19" i="6"/>
  <c r="T16" i="6"/>
  <c r="X10" i="6"/>
  <c r="X84" i="6"/>
  <c r="W44" i="6"/>
  <c r="W23" i="6"/>
  <c r="R54" i="6"/>
  <c r="X30" i="6"/>
  <c r="W48" i="6"/>
  <c r="W56" i="6"/>
  <c r="U16" i="6"/>
  <c r="U8" i="6"/>
  <c r="X16" i="6"/>
  <c r="S16" i="6"/>
  <c r="R84" i="6"/>
  <c r="S23" i="6"/>
  <c r="W90" i="6"/>
  <c r="S87" i="6"/>
  <c r="W84" i="6"/>
  <c r="S62" i="6"/>
  <c r="S53" i="6"/>
  <c r="U48" i="6"/>
  <c r="U26" i="6"/>
  <c r="T15" i="6"/>
  <c r="R11" i="6"/>
  <c r="W79" i="6"/>
  <c r="R8" i="11"/>
  <c r="U15" i="19"/>
  <c r="S17" i="19"/>
  <c r="U35" i="19"/>
  <c r="R70" i="19"/>
  <c r="S63" i="19"/>
  <c r="S86" i="19"/>
  <c r="W15" i="19"/>
  <c r="W61" i="19"/>
  <c r="U18" i="3"/>
  <c r="U48" i="3"/>
  <c r="U13" i="3"/>
  <c r="U17" i="3"/>
  <c r="W14" i="3"/>
  <c r="P41" i="3"/>
  <c r="S110" i="2"/>
  <c r="Q76" i="2"/>
  <c r="R76" i="2"/>
  <c r="Q73" i="2"/>
  <c r="S73" i="2"/>
  <c r="R50" i="2"/>
  <c r="S107" i="2"/>
  <c r="R107" i="2"/>
  <c r="R83" i="2"/>
  <c r="T40" i="2"/>
  <c r="S137" i="2"/>
  <c r="S34" i="2"/>
  <c r="S83" i="2"/>
  <c r="T134" i="2"/>
  <c r="T20" i="2"/>
  <c r="R106" i="2"/>
  <c r="T85" i="2"/>
  <c r="R79" i="2"/>
  <c r="T79" i="2"/>
  <c r="T53" i="2"/>
  <c r="Q11" i="2"/>
  <c r="S11" i="2"/>
  <c r="R11" i="2"/>
  <c r="T56" i="2"/>
  <c r="T37" i="2"/>
  <c r="R54" i="2"/>
  <c r="T23" i="2"/>
  <c r="R103" i="2"/>
  <c r="R137" i="2"/>
  <c r="R34" i="2"/>
  <c r="Q40" i="2"/>
  <c r="T42" i="2"/>
  <c r="R90" i="2"/>
  <c r="T11" i="2"/>
  <c r="S113" i="2"/>
  <c r="T113" i="2"/>
  <c r="T91" i="2"/>
  <c r="S91" i="2"/>
  <c r="T54" i="2"/>
  <c r="S41" i="2"/>
  <c r="S36" i="2"/>
  <c r="Q36" i="2"/>
  <c r="R28" i="2"/>
  <c r="R25" i="2"/>
  <c r="Q25" i="2"/>
  <c r="S25" i="2"/>
  <c r="Q22" i="2"/>
  <c r="Q14" i="2"/>
  <c r="S14" i="2"/>
  <c r="Q81" i="2"/>
  <c r="T117" i="2"/>
  <c r="R37" i="2"/>
  <c r="S81" i="2"/>
  <c r="R91" i="2"/>
  <c r="Q99" i="2"/>
  <c r="T94" i="2"/>
  <c r="S133" i="2"/>
  <c r="Q20" i="2"/>
  <c r="T137" i="2"/>
  <c r="T78" i="2"/>
  <c r="T90" i="2"/>
  <c r="Q54" i="2"/>
  <c r="R22" i="2"/>
  <c r="R73" i="2"/>
  <c r="S76" i="2"/>
  <c r="T138" i="2"/>
  <c r="R138" i="2"/>
  <c r="S131" i="2"/>
  <c r="Q131" i="2"/>
  <c r="Q125" i="2"/>
  <c r="T125" i="2"/>
  <c r="Q122" i="2"/>
  <c r="S116" i="2"/>
  <c r="R116" i="2"/>
  <c r="R93" i="2"/>
  <c r="S87" i="2"/>
  <c r="T80" i="2"/>
  <c r="T73" i="2"/>
  <c r="T69" i="2"/>
  <c r="R40" i="2"/>
  <c r="Q35" i="2"/>
  <c r="Q59" i="2"/>
  <c r="T10" i="2"/>
  <c r="S101" i="2"/>
  <c r="R101" i="2"/>
  <c r="T60" i="2"/>
  <c r="S15" i="2"/>
  <c r="R88" i="2"/>
  <c r="S27" i="2"/>
  <c r="Q101" i="2"/>
  <c r="R132" i="2"/>
  <c r="Q132" i="2"/>
  <c r="Q124" i="2"/>
  <c r="R124" i="2"/>
  <c r="S119" i="2"/>
  <c r="T119" i="2"/>
  <c r="Q77" i="2"/>
  <c r="S77" i="2"/>
  <c r="S47" i="2"/>
  <c r="Q47" i="2"/>
  <c r="S88" i="2"/>
  <c r="S35" i="2"/>
  <c r="R99" i="2"/>
  <c r="T115" i="2"/>
  <c r="Q97" i="2"/>
  <c r="R59" i="2"/>
  <c r="S124" i="2"/>
  <c r="Q33" i="2"/>
  <c r="S10" i="2"/>
  <c r="T86" i="2"/>
  <c r="S52" i="2"/>
  <c r="R97" i="2"/>
  <c r="S132" i="2"/>
  <c r="Q27" i="2"/>
  <c r="T8" i="2"/>
  <c r="T47" i="2"/>
  <c r="R86" i="2"/>
  <c r="R134" i="2"/>
  <c r="Q134" i="2"/>
  <c r="R126" i="2"/>
  <c r="S114" i="2"/>
  <c r="S98" i="2"/>
  <c r="T98" i="2"/>
  <c r="T92" i="2"/>
  <c r="Q61" i="2"/>
  <c r="S61" i="2"/>
  <c r="S56" i="2"/>
  <c r="R56" i="2"/>
  <c r="S32" i="2"/>
  <c r="Q32" i="2"/>
  <c r="Q136" i="2"/>
  <c r="R136" i="2"/>
  <c r="S75" i="2"/>
  <c r="T75" i="2"/>
  <c r="Q72" i="2"/>
  <c r="R72" i="2"/>
  <c r="T72" i="2"/>
  <c r="T55" i="2"/>
  <c r="Q55" i="2"/>
  <c r="R43" i="2"/>
  <c r="T43" i="2"/>
  <c r="R31" i="2"/>
  <c r="Q31" i="2"/>
  <c r="T13" i="2"/>
  <c r="S13" i="2"/>
  <c r="R13" i="2"/>
  <c r="S33" i="2"/>
  <c r="Q60" i="2"/>
  <c r="Q21" i="2"/>
  <c r="Q119" i="2"/>
  <c r="S99" i="2"/>
  <c r="S43" i="2"/>
  <c r="S97" i="2"/>
  <c r="Q75" i="2"/>
  <c r="S8" i="2"/>
  <c r="T126" i="2"/>
  <c r="T27" i="2"/>
  <c r="R47" i="2"/>
  <c r="S55" i="2"/>
  <c r="T132" i="2"/>
  <c r="T96" i="2"/>
  <c r="S96" i="2"/>
  <c r="Q96" i="2"/>
  <c r="R82" i="2"/>
  <c r="R77" i="2"/>
  <c r="S58" i="2"/>
  <c r="S50" i="2"/>
  <c r="S30" i="2"/>
  <c r="R30" i="2"/>
  <c r="Q30" i="2"/>
  <c r="S18" i="2"/>
  <c r="S12" i="2"/>
  <c r="Q12" i="2"/>
  <c r="R16" i="2"/>
  <c r="Q16" i="2"/>
  <c r="S78" i="15"/>
  <c r="U40" i="15"/>
  <c r="R8" i="10"/>
  <c r="T9" i="10"/>
  <c r="T13" i="10"/>
  <c r="T11" i="10"/>
  <c r="S9" i="10"/>
  <c r="R9" i="10"/>
  <c r="V14" i="10"/>
  <c r="S65" i="19"/>
  <c r="R87" i="19"/>
  <c r="X39" i="19"/>
  <c r="S35" i="19"/>
  <c r="T17" i="19"/>
  <c r="X73" i="19"/>
  <c r="T15" i="19"/>
  <c r="W92" i="19"/>
  <c r="X70" i="19"/>
  <c r="T78" i="19"/>
  <c r="X63" i="19"/>
  <c r="R63" i="19"/>
  <c r="U57" i="19"/>
  <c r="X43" i="19"/>
  <c r="U43" i="19"/>
  <c r="T43" i="19"/>
  <c r="W43" i="19"/>
  <c r="T41" i="19"/>
  <c r="T39" i="19"/>
  <c r="X33" i="19"/>
  <c r="R31" i="19"/>
  <c r="U31" i="19"/>
  <c r="S31" i="19"/>
  <c r="R29" i="19"/>
  <c r="S27" i="19"/>
  <c r="R25" i="19"/>
  <c r="S23" i="19"/>
  <c r="S21" i="19"/>
  <c r="R21" i="19"/>
  <c r="U19" i="19"/>
  <c r="R17" i="19"/>
  <c r="T13" i="19"/>
  <c r="W9" i="19"/>
  <c r="U21" i="19"/>
  <c r="R80" i="19"/>
  <c r="U29" i="19"/>
  <c r="U25" i="19"/>
  <c r="X27" i="19"/>
  <c r="W31" i="19"/>
  <c r="S15" i="19"/>
  <c r="T90" i="19"/>
  <c r="W88" i="19"/>
  <c r="S88" i="19"/>
  <c r="T83" i="19"/>
  <c r="X83" i="19"/>
  <c r="R75" i="19"/>
  <c r="W75" i="19"/>
  <c r="X88" i="19"/>
  <c r="W83" i="19"/>
  <c r="R83" i="19"/>
  <c r="X75" i="19"/>
  <c r="S85" i="19"/>
  <c r="R82" i="19"/>
  <c r="U71" i="19"/>
  <c r="W71" i="19"/>
  <c r="S71" i="19"/>
  <c r="X71" i="19"/>
  <c r="T71" i="19"/>
  <c r="R71" i="19"/>
  <c r="R90" i="19"/>
  <c r="U81" i="19"/>
  <c r="U69" i="19"/>
  <c r="S69" i="19"/>
  <c r="T88" i="19"/>
  <c r="U88" i="19"/>
  <c r="R85" i="19"/>
  <c r="S75" i="19"/>
  <c r="U75" i="19"/>
  <c r="R86" i="19"/>
  <c r="S83" i="19"/>
  <c r="U80" i="19"/>
  <c r="U78" i="19"/>
  <c r="T75" i="19"/>
  <c r="S73" i="19"/>
  <c r="R73" i="19"/>
  <c r="U73" i="19"/>
  <c r="X66" i="19"/>
  <c r="W66" i="19"/>
  <c r="W64" i="19"/>
  <c r="X60" i="19"/>
  <c r="W60" i="19"/>
  <c r="U58" i="19"/>
  <c r="S56" i="19"/>
  <c r="U54" i="19"/>
  <c r="T54" i="19"/>
  <c r="S54" i="19"/>
  <c r="W54" i="19"/>
  <c r="T52" i="19"/>
  <c r="X50" i="19"/>
  <c r="T50" i="19"/>
  <c r="U46" i="19"/>
  <c r="T34" i="19"/>
  <c r="W34" i="19"/>
  <c r="U32" i="19"/>
  <c r="U30" i="19"/>
  <c r="W30" i="19"/>
  <c r="S22" i="19"/>
  <c r="U18" i="19"/>
  <c r="T18" i="19"/>
  <c r="W14" i="19"/>
  <c r="T12" i="19"/>
  <c r="S8" i="19"/>
  <c r="S92" i="19"/>
  <c r="W74" i="19"/>
  <c r="T74" i="19"/>
  <c r="U70" i="19"/>
  <c r="Q121" i="2"/>
  <c r="S121" i="2"/>
  <c r="R118" i="2"/>
  <c r="T118" i="2"/>
  <c r="T110" i="2"/>
  <c r="R110" i="2"/>
  <c r="Q110" i="2"/>
  <c r="S85" i="2"/>
  <c r="Q85" i="2"/>
  <c r="S69" i="2"/>
  <c r="Q69" i="2"/>
  <c r="T61" i="2"/>
  <c r="R61" i="2"/>
  <c r="R26" i="2"/>
  <c r="S26" i="2"/>
  <c r="T109" i="2"/>
  <c r="S109" i="2"/>
  <c r="Q95" i="2"/>
  <c r="T95" i="2"/>
  <c r="S93" i="2"/>
  <c r="T93" i="2"/>
  <c r="Q62" i="2"/>
  <c r="S62" i="2"/>
  <c r="S39" i="2"/>
  <c r="R39" i="2"/>
  <c r="R9" i="2"/>
  <c r="T58" i="2"/>
  <c r="T82" i="2"/>
  <c r="R120" i="2"/>
  <c r="R21" i="2"/>
  <c r="S136" i="2"/>
  <c r="T57" i="2"/>
  <c r="Q115" i="2"/>
  <c r="R10" i="2"/>
  <c r="S53" i="2"/>
  <c r="Q100" i="2"/>
  <c r="T100" i="2"/>
  <c r="T17" i="2"/>
  <c r="Q39" i="2"/>
  <c r="T39" i="2"/>
  <c r="Q106" i="2"/>
  <c r="Q17" i="2"/>
  <c r="R100" i="2"/>
  <c r="T121" i="2"/>
  <c r="S123" i="2"/>
  <c r="S71" i="2"/>
  <c r="T104" i="2"/>
  <c r="T26" i="2"/>
  <c r="T62" i="2"/>
  <c r="S102" i="2"/>
  <c r="R85" i="2"/>
  <c r="R104" i="2"/>
  <c r="S48" i="2"/>
  <c r="R71" i="2"/>
  <c r="Q104" i="2"/>
  <c r="S122" i="2"/>
  <c r="T122" i="2"/>
  <c r="R122" i="2"/>
  <c r="R81" i="2"/>
  <c r="T81" i="2"/>
  <c r="R41" i="2"/>
  <c r="Q41" i="2"/>
  <c r="Q9" i="2"/>
  <c r="T18" i="2"/>
  <c r="T50" i="2"/>
  <c r="Q58" i="2"/>
  <c r="T120" i="2"/>
  <c r="T15" i="2"/>
  <c r="T21" i="2"/>
  <c r="Q15" i="2"/>
  <c r="R114" i="2"/>
  <c r="S57" i="2"/>
  <c r="S9" i="2"/>
  <c r="R69" i="2"/>
  <c r="T87" i="2"/>
  <c r="R46" i="2"/>
  <c r="T28" i="2"/>
  <c r="R14" i="2"/>
  <c r="R95" i="2"/>
  <c r="Q53" i="2"/>
  <c r="S65" i="2"/>
  <c r="T114" i="2"/>
  <c r="R48" i="2"/>
  <c r="S46" i="2"/>
  <c r="R74" i="2"/>
  <c r="S31" i="2"/>
  <c r="S135" i="2"/>
  <c r="T67" i="2"/>
  <c r="Q109" i="2"/>
  <c r="S128" i="2"/>
  <c r="T41" i="2"/>
  <c r="R63" i="2"/>
  <c r="R121" i="2"/>
  <c r="Q113" i="2"/>
  <c r="R113" i="2"/>
  <c r="Q86" i="2"/>
  <c r="S86" i="2"/>
  <c r="R67" i="2"/>
  <c r="T63" i="2"/>
  <c r="T48" i="2"/>
  <c r="Q26" i="2"/>
  <c r="Q19" i="2"/>
  <c r="V53" i="15"/>
  <c r="Y53" i="15"/>
  <c r="U47" i="15"/>
  <c r="X92" i="15"/>
  <c r="U108" i="15"/>
  <c r="V42" i="15"/>
  <c r="X47" i="15"/>
  <c r="S53" i="15"/>
  <c r="U30" i="15"/>
  <c r="T26" i="15"/>
  <c r="T30" i="15"/>
  <c r="X42" i="15"/>
  <c r="Y39" i="15"/>
  <c r="T105" i="15"/>
  <c r="T40" i="15"/>
  <c r="U92" i="15"/>
  <c r="X27" i="15"/>
  <c r="V9" i="15"/>
  <c r="U69" i="15"/>
  <c r="T19" i="15"/>
  <c r="U84" i="15"/>
  <c r="V87" i="15"/>
  <c r="U86" i="15"/>
  <c r="T32" i="15"/>
  <c r="V100" i="15"/>
  <c r="T90" i="15"/>
  <c r="X23" i="15"/>
  <c r="T91" i="15"/>
  <c r="X94" i="15"/>
  <c r="X32" i="15"/>
  <c r="X53" i="15"/>
  <c r="T11" i="15"/>
  <c r="S41" i="15"/>
  <c r="Y62" i="15"/>
  <c r="Y47" i="15"/>
  <c r="T47" i="15"/>
  <c r="Y19" i="15"/>
  <c r="V19" i="15"/>
  <c r="U72" i="15"/>
  <c r="U19" i="15"/>
  <c r="Y61" i="15"/>
  <c r="X44" i="15"/>
  <c r="Y32" i="15"/>
  <c r="T61" i="15"/>
  <c r="X33" i="15"/>
  <c r="Y33" i="15"/>
  <c r="V43" i="15"/>
  <c r="Y67" i="15"/>
  <c r="X41" i="15"/>
  <c r="X88" i="15"/>
  <c r="S39" i="15"/>
  <c r="Y43" i="15"/>
  <c r="X45" i="15"/>
  <c r="Y46" i="15"/>
  <c r="S89" i="15"/>
  <c r="V41" i="15"/>
  <c r="Y35" i="15"/>
  <c r="V24" i="15"/>
  <c r="T64" i="15"/>
  <c r="T42" i="15"/>
  <c r="V69" i="15"/>
  <c r="X43" i="15"/>
  <c r="X64" i="15"/>
  <c r="S67" i="15"/>
  <c r="Y30" i="15"/>
  <c r="Y106" i="15"/>
  <c r="V30" i="15"/>
  <c r="U61" i="15"/>
  <c r="S57" i="15"/>
  <c r="Y64" i="15"/>
  <c r="S46" i="15"/>
  <c r="U41" i="15"/>
  <c r="T39" i="15"/>
  <c r="T37" i="15"/>
  <c r="Y84" i="15"/>
  <c r="T78" i="15"/>
  <c r="T103" i="15"/>
  <c r="V89" i="15"/>
  <c r="V44" i="15"/>
  <c r="T24" i="15"/>
  <c r="U65" i="15"/>
  <c r="Y92" i="15"/>
  <c r="Y14" i="15"/>
  <c r="Y69" i="15"/>
  <c r="Y23" i="15"/>
  <c r="X40" i="15"/>
  <c r="T112" i="15"/>
  <c r="V32" i="15"/>
  <c r="Y44" i="15"/>
  <c r="T27" i="15"/>
  <c r="S32" i="15"/>
  <c r="S44" i="15"/>
  <c r="U96" i="15"/>
  <c r="U13" i="15"/>
  <c r="T84" i="15"/>
  <c r="V78" i="15"/>
  <c r="U14" i="15"/>
  <c r="V10" i="15"/>
  <c r="U55" i="15"/>
  <c r="X84" i="15"/>
  <c r="X78" i="15"/>
  <c r="X14" i="15"/>
  <c r="V28" i="15"/>
  <c r="T13" i="15"/>
  <c r="T75" i="15"/>
  <c r="Y9" i="15"/>
  <c r="S55" i="15"/>
  <c r="Y88" i="15"/>
  <c r="V103" i="15"/>
  <c r="U103" i="15"/>
  <c r="X26" i="15"/>
  <c r="X28" i="15"/>
  <c r="X57" i="15"/>
  <c r="V57" i="15"/>
  <c r="V88" i="15"/>
  <c r="S9" i="15"/>
  <c r="T57" i="15"/>
  <c r="T66" i="15"/>
  <c r="Y36" i="15"/>
  <c r="V26" i="15"/>
  <c r="S90" i="15"/>
  <c r="V22" i="15"/>
  <c r="U26" i="15"/>
  <c r="U97" i="15"/>
  <c r="X90" i="15"/>
  <c r="U90" i="15"/>
  <c r="V56" i="15"/>
  <c r="U83" i="15"/>
  <c r="T100" i="15"/>
  <c r="Y91" i="15"/>
  <c r="V83" i="15"/>
  <c r="S35" i="15"/>
  <c r="V77" i="15"/>
  <c r="S26" i="15"/>
  <c r="T76" i="15"/>
  <c r="S47" i="15"/>
  <c r="U22" i="15"/>
  <c r="U38" i="15"/>
  <c r="X69" i="15"/>
  <c r="S97" i="15"/>
  <c r="U11" i="15"/>
  <c r="X61" i="15"/>
  <c r="Y40" i="15"/>
  <c r="V11" i="15"/>
  <c r="V61" i="15"/>
  <c r="V13" i="15"/>
  <c r="Y38" i="15"/>
  <c r="V40" i="15"/>
  <c r="Y42" i="15"/>
  <c r="T44" i="15"/>
  <c r="S109" i="15"/>
  <c r="U75" i="15"/>
  <c r="S69" i="15"/>
  <c r="V70" i="15"/>
  <c r="X38" i="15"/>
  <c r="Y113" i="15"/>
  <c r="U113" i="15"/>
  <c r="T113" i="15"/>
  <c r="Y11" i="15"/>
  <c r="Y103" i="15"/>
  <c r="T111" i="15"/>
  <c r="S111" i="15"/>
  <c r="U107" i="15"/>
  <c r="V107" i="15"/>
  <c r="Y107" i="15"/>
  <c r="S107" i="15"/>
  <c r="V59" i="15"/>
  <c r="Y59" i="15"/>
  <c r="X18" i="15"/>
  <c r="S31" i="15"/>
  <c r="T31" i="15"/>
  <c r="Y86" i="15"/>
  <c r="T34" i="15"/>
  <c r="U62" i="15"/>
  <c r="V54" i="15"/>
  <c r="X10" i="15"/>
  <c r="Y115" i="15"/>
  <c r="T115" i="15"/>
  <c r="S115" i="15"/>
  <c r="U115" i="15"/>
  <c r="Y112" i="15"/>
  <c r="X106" i="15"/>
  <c r="V106" i="15"/>
  <c r="U66" i="15"/>
  <c r="X66" i="15"/>
  <c r="Y16" i="15"/>
  <c r="X16" i="15"/>
  <c r="U93" i="15"/>
  <c r="S93" i="15"/>
  <c r="V93" i="15"/>
  <c r="X93" i="15"/>
  <c r="X55" i="15"/>
  <c r="Y55" i="15"/>
  <c r="S30" i="15"/>
  <c r="Y41" i="15"/>
  <c r="X115" i="15"/>
  <c r="T106" i="15"/>
  <c r="U23" i="15"/>
  <c r="X107" i="15"/>
  <c r="V46" i="15"/>
  <c r="U109" i="15"/>
  <c r="U111" i="15"/>
  <c r="T46" i="15"/>
  <c r="S76" i="15"/>
  <c r="T92" i="15"/>
  <c r="U67" i="15"/>
  <c r="V92" i="15"/>
  <c r="T107" i="15"/>
  <c r="U28" i="15"/>
  <c r="T93" i="15"/>
  <c r="X54" i="15"/>
  <c r="V37" i="15"/>
  <c r="S37" i="15"/>
  <c r="Y37" i="15"/>
  <c r="U57" i="15"/>
  <c r="X37" i="15"/>
  <c r="Y22" i="15"/>
  <c r="T22" i="15"/>
  <c r="S22" i="15"/>
  <c r="V86" i="15"/>
  <c r="S88" i="15"/>
  <c r="T88" i="15"/>
  <c r="S91" i="15"/>
  <c r="X91" i="15"/>
  <c r="V91" i="15"/>
  <c r="T80" i="15"/>
  <c r="S50" i="15"/>
  <c r="V50" i="15"/>
  <c r="U89" i="15"/>
  <c r="Y89" i="15"/>
  <c r="S10" i="15"/>
  <c r="T10" i="15"/>
  <c r="U10" i="15"/>
  <c r="T62" i="15"/>
  <c r="X62" i="15"/>
  <c r="X89" i="15"/>
  <c r="Y50" i="15"/>
  <c r="T50" i="15"/>
  <c r="T77" i="15"/>
  <c r="U80" i="15"/>
  <c r="X76" i="15"/>
  <c r="T70" i="15"/>
  <c r="S86" i="15"/>
  <c r="X86" i="15"/>
  <c r="S103" i="15"/>
  <c r="S62" i="15"/>
  <c r="T108" i="15"/>
  <c r="U106" i="15"/>
  <c r="U100" i="15"/>
  <c r="S100" i="15"/>
  <c r="Y100" i="15"/>
  <c r="V85" i="15"/>
  <c r="V76" i="15"/>
  <c r="U43" i="15"/>
  <c r="S43" i="15"/>
  <c r="X39" i="15"/>
  <c r="V39" i="15"/>
  <c r="U87" i="15"/>
  <c r="T87" i="15"/>
  <c r="V90" i="15"/>
  <c r="S96" i="15"/>
  <c r="V96" i="15"/>
  <c r="X96" i="15"/>
  <c r="Y96" i="15"/>
  <c r="S11" i="15"/>
  <c r="T55" i="15"/>
  <c r="U114" i="15"/>
  <c r="T114" i="15"/>
  <c r="V114" i="15"/>
  <c r="S114" i="15"/>
  <c r="Y99" i="15"/>
  <c r="V99" i="15"/>
  <c r="S99" i="15"/>
  <c r="X82" i="15"/>
  <c r="T82" i="15"/>
  <c r="U82" i="15"/>
  <c r="S82" i="15"/>
  <c r="X79" i="15"/>
  <c r="V79" i="15"/>
  <c r="T79" i="15"/>
  <c r="U73" i="15"/>
  <c r="X73" i="15"/>
  <c r="T73" i="15"/>
  <c r="S73" i="15"/>
  <c r="U68" i="15"/>
  <c r="T68" i="15"/>
  <c r="S68" i="15"/>
  <c r="U51" i="15"/>
  <c r="Y51" i="15"/>
  <c r="Y29" i="15"/>
  <c r="Y73" i="15"/>
  <c r="Y82" i="15"/>
  <c r="X114" i="15"/>
  <c r="S51" i="15"/>
  <c r="X29" i="15"/>
  <c r="X31" i="15"/>
  <c r="U31" i="15"/>
  <c r="Y31" i="15"/>
  <c r="S102" i="15"/>
  <c r="V73" i="15"/>
  <c r="T51" i="15"/>
  <c r="X68" i="15"/>
  <c r="X49" i="15"/>
  <c r="Y49" i="15"/>
  <c r="U49" i="15"/>
  <c r="T49" i="15"/>
  <c r="V49" i="15"/>
  <c r="U33" i="15"/>
  <c r="S33" i="15"/>
  <c r="T33" i="15"/>
  <c r="Y24" i="15"/>
  <c r="S24" i="15"/>
  <c r="V21" i="15"/>
  <c r="S21" i="15"/>
  <c r="X21" i="15"/>
  <c r="U21" i="15"/>
  <c r="T21" i="15"/>
  <c r="Y21" i="15"/>
  <c r="U12" i="15"/>
  <c r="S12" i="15"/>
  <c r="V12" i="15"/>
  <c r="T12" i="15"/>
  <c r="X12" i="15"/>
  <c r="V94" i="15"/>
  <c r="T94" i="15"/>
  <c r="Y94" i="15"/>
  <c r="Y8" i="15"/>
  <c r="Y68" i="15"/>
  <c r="S79" i="15"/>
  <c r="U79" i="15"/>
  <c r="U24" i="15"/>
  <c r="U94" i="15"/>
  <c r="V68" i="15"/>
  <c r="Y65" i="15"/>
  <c r="V65" i="15"/>
  <c r="X65" i="15"/>
  <c r="S65" i="15"/>
  <c r="X51" i="15"/>
  <c r="Y48" i="15"/>
  <c r="Y27" i="15"/>
  <c r="U27" i="15"/>
  <c r="S27" i="15"/>
  <c r="Y17" i="15"/>
  <c r="T17" i="15"/>
  <c r="S17" i="15"/>
  <c r="V17" i="15"/>
  <c r="X17" i="15"/>
  <c r="U17" i="15"/>
  <c r="V95" i="15"/>
  <c r="U95" i="15"/>
  <c r="X95" i="15"/>
  <c r="Y95" i="15"/>
  <c r="S95" i="15"/>
  <c r="T95" i="15"/>
  <c r="S63" i="15"/>
  <c r="V63" i="15"/>
  <c r="X63" i="15"/>
  <c r="Y63" i="15"/>
  <c r="U63" i="15"/>
  <c r="Y60" i="15"/>
  <c r="S60" i="15"/>
  <c r="V60" i="15"/>
  <c r="X60" i="15"/>
  <c r="U60" i="15"/>
  <c r="T58" i="15"/>
  <c r="Y58" i="15"/>
  <c r="V58" i="15"/>
  <c r="U58" i="15"/>
  <c r="S58" i="15"/>
  <c r="X58" i="15"/>
  <c r="Y70" i="15"/>
  <c r="U70" i="15"/>
  <c r="S70" i="15"/>
  <c r="X67" i="15"/>
  <c r="V67" i="15"/>
  <c r="V35" i="15"/>
  <c r="X35" i="15"/>
  <c r="T35" i="15"/>
  <c r="V14" i="15"/>
  <c r="S14" i="15"/>
  <c r="T56" i="15"/>
  <c r="U56" i="15"/>
  <c r="X56" i="15"/>
  <c r="S84" i="15"/>
  <c r="U76" i="15"/>
  <c r="X19" i="15"/>
  <c r="T101" i="15"/>
  <c r="T9" i="15"/>
  <c r="X9" i="15"/>
  <c r="Y56" i="15"/>
  <c r="X113" i="15"/>
  <c r="V113" i="15"/>
  <c r="X97" i="15"/>
  <c r="V97" i="15"/>
  <c r="Y83" i="15"/>
  <c r="S83" i="15"/>
  <c r="X83" i="15"/>
  <c r="Y75" i="15"/>
  <c r="X75" i="15"/>
  <c r="S75" i="15"/>
  <c r="S66" i="15"/>
  <c r="Y66" i="15"/>
  <c r="Y52" i="15"/>
  <c r="V34" i="15"/>
  <c r="X34" i="15"/>
  <c r="S34" i="15"/>
  <c r="U34" i="15"/>
  <c r="U16" i="15"/>
  <c r="S16" i="15"/>
  <c r="V16" i="15"/>
  <c r="T16" i="15"/>
  <c r="S13" i="15"/>
  <c r="X13" i="15"/>
  <c r="X59" i="15"/>
  <c r="T59" i="15"/>
  <c r="U59" i="15"/>
  <c r="T54" i="15"/>
  <c r="U54" i="15"/>
  <c r="S54" i="15"/>
  <c r="V108" i="15"/>
  <c r="Y108" i="15"/>
  <c r="T72" i="15"/>
  <c r="X72" i="15"/>
  <c r="S72" i="15"/>
  <c r="V72" i="15"/>
  <c r="V23" i="15"/>
  <c r="S23" i="15"/>
  <c r="Y87" i="15"/>
  <c r="S87" i="15"/>
  <c r="L160" i="5"/>
  <c r="J130" i="5"/>
  <c r="L159" i="5"/>
  <c r="F90" i="5"/>
  <c r="M185" i="5" s="1"/>
  <c r="J13" i="4"/>
  <c r="K13" i="4" s="1"/>
  <c r="L13" i="4" s="1"/>
  <c r="F13" i="4"/>
  <c r="G13" i="4" s="1"/>
  <c r="F11" i="4"/>
  <c r="G11" i="4" s="1"/>
  <c r="G24" i="4" s="1"/>
  <c r="B30" i="5" s="1"/>
  <c r="S88" i="6"/>
  <c r="T82" i="6"/>
  <c r="T55" i="6"/>
  <c r="X55" i="6"/>
  <c r="R55" i="6"/>
  <c r="R25" i="6"/>
  <c r="S90" i="6"/>
  <c r="U90" i="6"/>
  <c r="W87" i="6"/>
  <c r="T87" i="6"/>
  <c r="R87" i="6"/>
  <c r="S69" i="6"/>
  <c r="X69" i="6"/>
  <c r="T69" i="6"/>
  <c r="R69" i="6"/>
  <c r="U69" i="6"/>
  <c r="U66" i="6"/>
  <c r="W66" i="6"/>
  <c r="R63" i="6"/>
  <c r="S63" i="6"/>
  <c r="S61" i="6"/>
  <c r="U61" i="6"/>
  <c r="W61" i="6"/>
  <c r="R59" i="6"/>
  <c r="W59" i="6"/>
  <c r="S54" i="6"/>
  <c r="X48" i="6"/>
  <c r="T48" i="6"/>
  <c r="R48" i="6"/>
  <c r="U44" i="6"/>
  <c r="X34" i="6"/>
  <c r="R34" i="6"/>
  <c r="W34" i="6"/>
  <c r="S34" i="6"/>
  <c r="T34" i="6"/>
  <c r="U32" i="6"/>
  <c r="X32" i="6"/>
  <c r="W32" i="6"/>
  <c r="T32" i="6"/>
  <c r="S32" i="6"/>
  <c r="X15" i="6"/>
  <c r="U15" i="6"/>
  <c r="R74" i="6"/>
  <c r="U74" i="6"/>
  <c r="X74" i="6"/>
  <c r="W74" i="6"/>
  <c r="W53" i="6"/>
  <c r="R53" i="6"/>
  <c r="T53" i="6"/>
  <c r="T39" i="6"/>
  <c r="U27" i="6"/>
  <c r="S20" i="6"/>
  <c r="R17" i="6"/>
  <c r="W17" i="6"/>
  <c r="T17" i="6"/>
  <c r="X17" i="6"/>
  <c r="U20" i="6"/>
  <c r="X53" i="6"/>
  <c r="U17" i="6"/>
  <c r="U53" i="6"/>
  <c r="X85" i="6"/>
  <c r="W55" i="6"/>
  <c r="W52" i="6"/>
  <c r="U52" i="6"/>
  <c r="X52" i="6"/>
  <c r="W50" i="6"/>
  <c r="X50" i="6"/>
  <c r="X24" i="6"/>
  <c r="R24" i="6"/>
  <c r="S24" i="6"/>
  <c r="H160" i="5"/>
  <c r="J32" i="4"/>
  <c r="J9" i="4"/>
  <c r="K9" i="4"/>
  <c r="L9" i="4" s="1"/>
  <c r="T11" i="6"/>
  <c r="W89" i="6"/>
  <c r="R85" i="6"/>
  <c r="U85" i="6"/>
  <c r="T85" i="6"/>
  <c r="W85" i="6"/>
  <c r="S85" i="6"/>
  <c r="S82" i="6"/>
  <c r="R82" i="6"/>
  <c r="U82" i="6"/>
  <c r="R51" i="6"/>
  <c r="U51" i="6"/>
  <c r="X51" i="6"/>
  <c r="T51" i="6"/>
  <c r="U47" i="6"/>
  <c r="R47" i="6"/>
  <c r="S47" i="6"/>
  <c r="T47" i="6"/>
  <c r="X41" i="6"/>
  <c r="U41" i="6"/>
  <c r="W41" i="6"/>
  <c r="T41" i="6"/>
  <c r="R41" i="6"/>
  <c r="S41" i="6"/>
  <c r="U38" i="6"/>
  <c r="X38" i="6"/>
  <c r="S38" i="6"/>
  <c r="W38" i="6"/>
  <c r="X33" i="6"/>
  <c r="T33" i="6"/>
  <c r="R33" i="6"/>
  <c r="S33" i="6"/>
  <c r="X31" i="6"/>
  <c r="S31" i="6"/>
  <c r="U31" i="6"/>
  <c r="S29" i="6"/>
  <c r="T27" i="6"/>
  <c r="S27" i="6"/>
  <c r="X25" i="6"/>
  <c r="S25" i="6"/>
  <c r="T25" i="6"/>
  <c r="T22" i="6"/>
  <c r="S22" i="6"/>
  <c r="W22" i="6"/>
  <c r="U22" i="6"/>
  <c r="T31" i="6"/>
  <c r="W88" i="6"/>
  <c r="X88" i="6"/>
  <c r="R88" i="6"/>
  <c r="T88" i="6"/>
  <c r="U88" i="6"/>
  <c r="W72" i="6"/>
  <c r="U72" i="6"/>
  <c r="W64" i="6"/>
  <c r="U64" i="6"/>
  <c r="T64" i="6"/>
  <c r="R64" i="6"/>
  <c r="X64" i="6"/>
  <c r="X60" i="6"/>
  <c r="W60" i="6"/>
  <c r="T60" i="6"/>
  <c r="R60" i="6"/>
  <c r="S60" i="6"/>
  <c r="W54" i="6"/>
  <c r="T54" i="6"/>
  <c r="U54" i="6"/>
  <c r="S50" i="6"/>
  <c r="U50" i="6"/>
  <c r="R50" i="6"/>
  <c r="S46" i="6"/>
  <c r="S44" i="6"/>
  <c r="T44" i="6"/>
  <c r="R44" i="6"/>
  <c r="T9" i="6"/>
  <c r="R22" i="6"/>
  <c r="R38" i="6"/>
  <c r="W82" i="6"/>
  <c r="W27" i="6"/>
  <c r="X54" i="6"/>
  <c r="U25" i="6"/>
  <c r="X82" i="6"/>
  <c r="W31" i="6"/>
  <c r="X91" i="6"/>
  <c r="T91" i="6"/>
  <c r="W91" i="6"/>
  <c r="R91" i="6"/>
  <c r="U91" i="6"/>
  <c r="W75" i="6"/>
  <c r="S75" i="6"/>
  <c r="X75" i="6"/>
  <c r="T20" i="6"/>
  <c r="X20" i="6"/>
  <c r="W20" i="6"/>
  <c r="R20" i="6"/>
  <c r="R8" i="6"/>
  <c r="S8" i="6"/>
  <c r="X8" i="6"/>
  <c r="X62" i="6"/>
  <c r="U62" i="6"/>
  <c r="W62" i="6"/>
  <c r="T62" i="6"/>
  <c r="X42" i="6"/>
  <c r="S14" i="6"/>
  <c r="T14" i="6"/>
  <c r="S11" i="6"/>
  <c r="X11" i="6"/>
  <c r="U11" i="6"/>
  <c r="R21" i="6"/>
  <c r="S21" i="6"/>
  <c r="U21" i="6"/>
  <c r="W24" i="6"/>
  <c r="R52" i="6"/>
  <c r="T24" i="6"/>
  <c r="S58" i="6"/>
  <c r="W58" i="6"/>
  <c r="R58" i="6"/>
  <c r="S55" i="6"/>
  <c r="U55" i="6"/>
  <c r="S45" i="6"/>
  <c r="T45" i="6"/>
  <c r="X45" i="6"/>
  <c r="T23" i="6"/>
  <c r="R23" i="6"/>
  <c r="R15" i="6"/>
  <c r="S15" i="6"/>
  <c r="J129" i="5"/>
  <c r="G129" i="5"/>
  <c r="G135" i="5"/>
  <c r="H158" i="5"/>
  <c r="G130" i="5"/>
  <c r="G124" i="5"/>
  <c r="G134" i="5"/>
  <c r="H164" i="5"/>
  <c r="D186" i="5"/>
  <c r="H159" i="5"/>
  <c r="H153" i="5"/>
  <c r="H155" i="5" s="1"/>
  <c r="D171" i="5" s="1"/>
  <c r="H163" i="5"/>
  <c r="D183" i="5" s="1"/>
  <c r="S8" i="15"/>
  <c r="V8" i="15"/>
  <c r="T8" i="15"/>
  <c r="W13" i="3"/>
  <c r="T13" i="3"/>
  <c r="T41" i="3"/>
  <c r="U45" i="3"/>
  <c r="U41" i="3"/>
  <c r="R19" i="3"/>
  <c r="X19" i="3"/>
  <c r="U19" i="3"/>
  <c r="R13" i="3"/>
  <c r="W33" i="3"/>
  <c r="S19" i="3"/>
  <c r="T33" i="3"/>
  <c r="X30" i="3"/>
  <c r="R18" i="3"/>
  <c r="W21" i="3"/>
  <c r="S33" i="3"/>
  <c r="R43" i="3"/>
  <c r="U29" i="3"/>
  <c r="T19" i="3"/>
  <c r="R21" i="3"/>
  <c r="T18" i="3"/>
  <c r="W48" i="3"/>
  <c r="W39" i="3"/>
  <c r="U36" i="3"/>
  <c r="U9" i="3"/>
  <c r="X9" i="3"/>
  <c r="W15" i="3"/>
  <c r="R48" i="3"/>
  <c r="S9" i="3"/>
  <c r="S44" i="3"/>
  <c r="U21" i="3"/>
  <c r="X36" i="3"/>
  <c r="U23" i="3"/>
  <c r="X25" i="3"/>
  <c r="S12" i="3"/>
  <c r="T9" i="3"/>
  <c r="W44" i="3"/>
  <c r="W36" i="3"/>
  <c r="S36" i="3"/>
  <c r="S46" i="3"/>
  <c r="U44" i="3"/>
  <c r="T36" i="3"/>
  <c r="X21" i="3"/>
  <c r="T38" i="3"/>
  <c r="W41" i="3"/>
  <c r="S38" i="3"/>
  <c r="X48" i="3"/>
  <c r="U46" i="3"/>
  <c r="S48" i="3"/>
  <c r="S29" i="3"/>
  <c r="W17" i="3"/>
  <c r="W11" i="3"/>
  <c r="S41" i="3"/>
  <c r="W38" i="3"/>
  <c r="W46" i="3"/>
  <c r="X29" i="3"/>
  <c r="U33" i="3"/>
  <c r="X13" i="3"/>
  <c r="R29" i="3"/>
  <c r="S11" i="3"/>
  <c r="T44" i="3"/>
  <c r="R41" i="3"/>
  <c r="R38" i="3"/>
  <c r="R25" i="3"/>
  <c r="U28" i="3"/>
  <c r="X45" i="3"/>
  <c r="W37" i="3"/>
  <c r="X39" i="3"/>
  <c r="X33" i="3"/>
  <c r="S39" i="3"/>
  <c r="U42" i="3"/>
  <c r="S43" i="3"/>
  <c r="S37" i="3"/>
  <c r="T45" i="3"/>
  <c r="S28" i="3"/>
  <c r="T28" i="3"/>
  <c r="W45" i="3"/>
  <c r="R17" i="3"/>
  <c r="W29" i="3"/>
  <c r="X38" i="3"/>
  <c r="W22" i="3"/>
  <c r="T39" i="3"/>
  <c r="U25" i="3"/>
  <c r="U14" i="3"/>
  <c r="U43" i="3"/>
  <c r="R14" i="3"/>
  <c r="S14" i="3"/>
  <c r="S45" i="3"/>
  <c r="W28" i="3"/>
  <c r="T25" i="3"/>
  <c r="X17" i="3"/>
  <c r="U32" i="3"/>
  <c r="T32" i="3"/>
  <c r="R32" i="3"/>
  <c r="X32" i="3"/>
  <c r="X27" i="3"/>
  <c r="S27" i="3"/>
  <c r="R27" i="3"/>
  <c r="U24" i="3"/>
  <c r="T24" i="3"/>
  <c r="S24" i="3"/>
  <c r="R24" i="3"/>
  <c r="X20" i="3"/>
  <c r="S20" i="3"/>
  <c r="W12" i="3"/>
  <c r="X12" i="3"/>
  <c r="S10" i="3"/>
  <c r="X10" i="3"/>
  <c r="X24" i="3"/>
  <c r="W10" i="3"/>
  <c r="S32" i="3"/>
  <c r="S40" i="3"/>
  <c r="U40" i="3"/>
  <c r="W40" i="3"/>
  <c r="X40" i="3"/>
  <c r="R40" i="3"/>
  <c r="T40" i="3"/>
  <c r="S35" i="3"/>
  <c r="T35" i="3"/>
  <c r="U35" i="3"/>
  <c r="T31" i="3"/>
  <c r="R31" i="3"/>
  <c r="X31" i="3"/>
  <c r="S31" i="3"/>
  <c r="W26" i="3"/>
  <c r="S26" i="3"/>
  <c r="R26" i="3"/>
  <c r="R23" i="3"/>
  <c r="W23" i="3"/>
  <c r="T23" i="3"/>
  <c r="W24" i="3"/>
  <c r="R35" i="3"/>
  <c r="W27" i="3"/>
  <c r="U31" i="3"/>
  <c r="U26" i="3"/>
  <c r="T20" i="3"/>
  <c r="X37" i="3"/>
  <c r="U37" i="3"/>
  <c r="R37" i="3"/>
  <c r="W34" i="3"/>
  <c r="T34" i="3"/>
  <c r="R34" i="3"/>
  <c r="U34" i="3"/>
  <c r="W35" i="3"/>
  <c r="S23" i="3"/>
  <c r="R39" i="3"/>
  <c r="W31" i="3"/>
  <c r="X34" i="3"/>
  <c r="T26" i="3"/>
  <c r="R12" i="3"/>
  <c r="U10" i="3"/>
  <c r="R20" i="3"/>
  <c r="U27" i="3"/>
  <c r="U47" i="3"/>
  <c r="T47" i="3"/>
  <c r="W47" i="3"/>
  <c r="T27" i="3"/>
  <c r="W20" i="3"/>
  <c r="S18" i="3"/>
  <c r="W18" i="3"/>
  <c r="R15" i="3"/>
  <c r="X15" i="3"/>
  <c r="U15" i="3"/>
  <c r="U49" i="3" s="1"/>
  <c r="E76" i="5" s="1"/>
  <c r="T15" i="3"/>
  <c r="U12" i="3"/>
  <c r="T10" i="3"/>
  <c r="X47" i="3"/>
  <c r="W43" i="3"/>
  <c r="X26" i="3"/>
  <c r="X28" i="3"/>
  <c r="S21" i="3"/>
  <c r="W25" i="3"/>
  <c r="R9" i="3"/>
  <c r="U8" i="15"/>
  <c r="W42" i="3"/>
  <c r="S42" i="3"/>
  <c r="T42" i="3"/>
  <c r="R42" i="3"/>
  <c r="B51" i="3"/>
  <c r="F76" i="5" s="1"/>
  <c r="T8" i="6"/>
  <c r="R9" i="6"/>
  <c r="S9" i="6"/>
  <c r="W9" i="6"/>
  <c r="U9" i="6"/>
  <c r="R12" i="19"/>
  <c r="X18" i="19"/>
  <c r="X32" i="19"/>
  <c r="X56" i="19"/>
  <c r="R78" i="19"/>
  <c r="X86" i="19"/>
  <c r="X90" i="19"/>
  <c r="X76" i="19"/>
  <c r="X72" i="19"/>
  <c r="S90" i="19"/>
  <c r="T9" i="19"/>
  <c r="S25" i="19"/>
  <c r="R13" i="19"/>
  <c r="W25" i="19"/>
  <c r="U27" i="19"/>
  <c r="U41" i="19"/>
  <c r="X78" i="19"/>
  <c r="S70" i="19"/>
  <c r="T92" i="19"/>
  <c r="R18" i="19"/>
  <c r="X52" i="19"/>
  <c r="W46" i="19"/>
  <c r="W81" i="19"/>
  <c r="W70" i="19"/>
  <c r="R66" i="19"/>
  <c r="R56" i="19"/>
  <c r="T47" i="19"/>
  <c r="R41" i="19"/>
  <c r="W27" i="19"/>
  <c r="U23" i="19"/>
  <c r="W12" i="19"/>
  <c r="S82" i="19"/>
  <c r="T82" i="19"/>
  <c r="T57" i="19"/>
  <c r="W57" i="19"/>
  <c r="U36" i="19"/>
  <c r="U52" i="19"/>
  <c r="U28" i="19"/>
  <c r="T28" i="19"/>
  <c r="S36" i="19"/>
  <c r="X57" i="19"/>
  <c r="R36" i="19"/>
  <c r="X28" i="19"/>
  <c r="R92" i="19"/>
  <c r="X22" i="19"/>
  <c r="S46" i="19"/>
  <c r="W52" i="19"/>
  <c r="W56" i="19"/>
  <c r="W78" i="19"/>
  <c r="U90" i="19"/>
  <c r="U82" i="19"/>
  <c r="W82" i="19"/>
  <c r="X19" i="19"/>
  <c r="S9" i="19"/>
  <c r="S19" i="19"/>
  <c r="T23" i="19"/>
  <c r="R27" i="19"/>
  <c r="S57" i="19"/>
  <c r="T67" i="19"/>
  <c r="T86" i="19"/>
  <c r="X13" i="19"/>
  <c r="S28" i="19"/>
  <c r="W28" i="19"/>
  <c r="U56" i="19"/>
  <c r="U86" i="19"/>
  <c r="S48" i="19"/>
  <c r="X46" i="19"/>
  <c r="W36" i="19"/>
  <c r="S24" i="19"/>
  <c r="R22" i="19"/>
  <c r="U17" i="19"/>
  <c r="T87" i="19"/>
  <c r="S87" i="19"/>
  <c r="X87" i="19"/>
  <c r="W87" i="19"/>
  <c r="U87" i="19"/>
  <c r="X53" i="19"/>
  <c r="S53" i="19"/>
  <c r="U53" i="19"/>
  <c r="T53" i="19"/>
  <c r="S38" i="19"/>
  <c r="W38" i="19"/>
  <c r="X38" i="19"/>
  <c r="R38" i="19"/>
  <c r="W20" i="19"/>
  <c r="U20" i="19"/>
  <c r="T20" i="19"/>
  <c r="S20" i="19"/>
  <c r="X20" i="19"/>
  <c r="R20" i="19"/>
  <c r="T16" i="19"/>
  <c r="W16" i="19"/>
  <c r="R53" i="19"/>
  <c r="U38" i="19"/>
  <c r="T85" i="19"/>
  <c r="U85" i="19"/>
  <c r="X85" i="19"/>
  <c r="W85" i="19"/>
  <c r="X35" i="19"/>
  <c r="T35" i="19"/>
  <c r="R35" i="19"/>
  <c r="W35" i="19"/>
  <c r="U89" i="19"/>
  <c r="W89" i="19"/>
  <c r="T89" i="19"/>
  <c r="X89" i="19"/>
  <c r="U77" i="19"/>
  <c r="S77" i="19"/>
  <c r="W77" i="19"/>
  <c r="X77" i="19"/>
  <c r="U55" i="19"/>
  <c r="R55" i="19"/>
  <c r="W40" i="19"/>
  <c r="S26" i="19"/>
  <c r="W8" i="19"/>
  <c r="X8" i="19"/>
  <c r="R8" i="19"/>
  <c r="U8" i="19"/>
  <c r="U16" i="19"/>
  <c r="S89" i="19"/>
  <c r="W53" i="19"/>
  <c r="T77" i="19"/>
  <c r="T38" i="19"/>
  <c r="X79" i="19"/>
  <c r="R79" i="19"/>
  <c r="S79" i="19"/>
  <c r="T79" i="19"/>
  <c r="U79" i="19"/>
  <c r="S59" i="19"/>
  <c r="R59" i="19"/>
  <c r="U42" i="19"/>
  <c r="X10" i="19"/>
  <c r="W10" i="19"/>
  <c r="R10" i="19"/>
  <c r="S10" i="19"/>
  <c r="U10" i="19"/>
  <c r="S67" i="19"/>
  <c r="R67" i="19"/>
  <c r="X45" i="19"/>
  <c r="W45" i="19"/>
  <c r="X29" i="19"/>
  <c r="S29" i="19"/>
  <c r="U12" i="19"/>
  <c r="T81" i="19"/>
  <c r="W76" i="19"/>
  <c r="R81" i="19"/>
  <c r="R45" i="19"/>
  <c r="W33" i="19"/>
  <c r="S45" i="19"/>
  <c r="W67" i="19"/>
  <c r="S33" i="19"/>
  <c r="W22" i="19"/>
  <c r="X12" i="19"/>
  <c r="S50" i="19"/>
  <c r="U50" i="19"/>
  <c r="S41" i="19"/>
  <c r="W41" i="19"/>
  <c r="W39" i="19"/>
  <c r="S39" i="19"/>
  <c r="R39" i="19"/>
  <c r="R32" i="19"/>
  <c r="T32" i="19"/>
  <c r="W21" i="19"/>
  <c r="X21" i="19"/>
  <c r="T21" i="19"/>
  <c r="T95" i="19"/>
  <c r="T19" i="19"/>
  <c r="W19" i="19"/>
  <c r="X47" i="19"/>
  <c r="W47" i="19"/>
  <c r="S47" i="19"/>
  <c r="T24" i="19"/>
  <c r="X24" i="19"/>
  <c r="T14" i="19"/>
  <c r="R24" i="19"/>
  <c r="S76" i="19"/>
  <c r="S81" i="19"/>
  <c r="U47" i="19"/>
  <c r="T45" i="19"/>
  <c r="X67" i="19"/>
  <c r="T76" i="19"/>
  <c r="W24" i="19"/>
  <c r="T72" i="19"/>
  <c r="U64" i="19"/>
  <c r="T64" i="19"/>
  <c r="R64" i="19"/>
  <c r="X64" i="19"/>
  <c r="U61" i="19"/>
  <c r="T33" i="19"/>
  <c r="R23" i="19"/>
  <c r="X23" i="19"/>
  <c r="S13" i="19"/>
  <c r="U13" i="19"/>
  <c r="U9" i="19"/>
  <c r="R9" i="19"/>
  <c r="G112" i="5"/>
  <c r="G100" i="5"/>
  <c r="G109" i="5" s="1"/>
  <c r="H141" i="5"/>
  <c r="H150" i="5" s="1"/>
  <c r="J150" i="5" s="1"/>
  <c r="U10" i="6"/>
  <c r="J29" i="4"/>
  <c r="J187" i="5"/>
  <c r="V112" i="15"/>
  <c r="U112" i="15"/>
  <c r="X112" i="15"/>
  <c r="S112" i="15"/>
  <c r="S105" i="15"/>
  <c r="Y105" i="15"/>
  <c r="X105" i="15"/>
  <c r="U105" i="15"/>
  <c r="X98" i="15"/>
  <c r="S85" i="15"/>
  <c r="Y85" i="15"/>
  <c r="U85" i="15"/>
  <c r="T85" i="15"/>
  <c r="U29" i="15"/>
  <c r="V29" i="15"/>
  <c r="S29" i="15"/>
  <c r="T29" i="15"/>
  <c r="X25" i="15"/>
  <c r="Y25" i="15"/>
  <c r="T25" i="15"/>
  <c r="V25" i="15"/>
  <c r="U25" i="15"/>
  <c r="S25" i="15"/>
  <c r="S11" i="10"/>
  <c r="R11" i="10"/>
  <c r="P14" i="10"/>
  <c r="Q11" i="10"/>
  <c r="AA14" i="10"/>
  <c r="C59" i="5"/>
  <c r="Q12" i="12"/>
  <c r="R12" i="12"/>
  <c r="T12" i="12"/>
  <c r="S12" i="12"/>
  <c r="T80" i="19"/>
  <c r="X80" i="19"/>
  <c r="S80" i="19"/>
  <c r="W80" i="19"/>
  <c r="W72" i="19"/>
  <c r="R72" i="19"/>
  <c r="S72" i="19"/>
  <c r="U72" i="19"/>
  <c r="W42" i="19"/>
  <c r="X42" i="19"/>
  <c r="T42" i="19"/>
  <c r="R42" i="19"/>
  <c r="S122" i="18"/>
  <c r="T122" i="18"/>
  <c r="Q122" i="18"/>
  <c r="R98" i="18"/>
  <c r="S98" i="18"/>
  <c r="Q98" i="18"/>
  <c r="T98" i="18"/>
  <c r="Q73" i="18"/>
  <c r="S73" i="18"/>
  <c r="T73" i="18"/>
  <c r="R73" i="18"/>
  <c r="Q69" i="18"/>
  <c r="S69" i="18"/>
  <c r="T69" i="18"/>
  <c r="S46" i="18"/>
  <c r="Q46" i="18"/>
  <c r="T46" i="18"/>
  <c r="T40" i="18"/>
  <c r="S40" i="18"/>
  <c r="R40" i="18"/>
  <c r="S8" i="18"/>
  <c r="Q8" i="18"/>
  <c r="T8" i="18"/>
  <c r="T89" i="6"/>
  <c r="U89" i="6"/>
  <c r="R89" i="6"/>
  <c r="S89" i="6"/>
  <c r="X89" i="6"/>
  <c r="T68" i="6"/>
  <c r="S68" i="6"/>
  <c r="X68" i="6"/>
  <c r="W68" i="6"/>
  <c r="U68" i="6"/>
  <c r="R42" i="6"/>
  <c r="W42" i="6"/>
  <c r="T42" i="6"/>
  <c r="S42" i="6"/>
  <c r="U42" i="6"/>
  <c r="R130" i="2"/>
  <c r="Q130" i="2"/>
  <c r="T130" i="2"/>
  <c r="S130" i="2"/>
  <c r="T112" i="2"/>
  <c r="S112" i="2"/>
  <c r="R112" i="2"/>
  <c r="Q112" i="2"/>
  <c r="U30" i="3"/>
  <c r="T30" i="3"/>
  <c r="W30" i="3"/>
  <c r="S30" i="3"/>
  <c r="R30" i="3"/>
  <c r="S22" i="3"/>
  <c r="R22" i="3"/>
  <c r="U22" i="3"/>
  <c r="T22" i="3"/>
  <c r="X22" i="3"/>
  <c r="U16" i="3"/>
  <c r="R16" i="3"/>
  <c r="X16" i="3"/>
  <c r="Q49" i="3"/>
  <c r="S16" i="3"/>
  <c r="T16" i="3"/>
  <c r="T49" i="3" s="1"/>
  <c r="D76" i="5" s="1"/>
  <c r="K99" i="5" s="1"/>
  <c r="W16" i="3"/>
  <c r="R11" i="14"/>
  <c r="S11" i="14"/>
  <c r="Q12" i="11"/>
  <c r="R12" i="11"/>
  <c r="AB14" i="11"/>
  <c r="U14" i="11"/>
  <c r="B58" i="5"/>
  <c r="J58" i="5" s="1"/>
  <c r="W69" i="19"/>
  <c r="T69" i="19"/>
  <c r="R69" i="19"/>
  <c r="T60" i="19"/>
  <c r="R60" i="19"/>
  <c r="Q10" i="18"/>
  <c r="R10" i="18"/>
  <c r="S10" i="18"/>
  <c r="T10" i="18"/>
  <c r="T56" i="6"/>
  <c r="R56" i="6"/>
  <c r="S115" i="2"/>
  <c r="R115" i="2"/>
  <c r="Q10" i="14"/>
  <c r="R10" i="14"/>
  <c r="B57" i="5"/>
  <c r="X74" i="19"/>
  <c r="U74" i="19"/>
  <c r="S100" i="18"/>
  <c r="T100" i="18"/>
  <c r="Q94" i="18"/>
  <c r="R94" i="18"/>
  <c r="R76" i="18"/>
  <c r="Q76" i="18"/>
  <c r="T76" i="18"/>
  <c r="R71" i="18"/>
  <c r="Q71" i="18"/>
  <c r="S71" i="18"/>
  <c r="T71" i="18"/>
  <c r="R64" i="18"/>
  <c r="R42" i="18"/>
  <c r="T42" i="18"/>
  <c r="Q42" i="18"/>
  <c r="Q71" i="2"/>
  <c r="T71" i="2"/>
  <c r="T49" i="2"/>
  <c r="T46" i="2"/>
  <c r="Q46" i="2"/>
  <c r="R29" i="2"/>
  <c r="T29" i="2"/>
  <c r="Q15" i="14"/>
  <c r="R15" i="14"/>
  <c r="S13" i="14"/>
  <c r="R13" i="14"/>
  <c r="R12" i="10"/>
  <c r="S12" i="10"/>
  <c r="Q10" i="11"/>
  <c r="P14" i="11"/>
  <c r="S10" i="11"/>
  <c r="X65" i="19"/>
  <c r="T62" i="19"/>
  <c r="X62" i="19"/>
  <c r="R99" i="18"/>
  <c r="Q99" i="18"/>
  <c r="S99" i="18"/>
  <c r="T99" i="18"/>
  <c r="S50" i="18"/>
  <c r="R50" i="18"/>
  <c r="R28" i="18"/>
  <c r="Q28" i="18"/>
  <c r="T15" i="18"/>
  <c r="Q15" i="18"/>
  <c r="R15" i="18"/>
  <c r="S15" i="18"/>
  <c r="R12" i="18"/>
  <c r="Q12" i="18"/>
  <c r="U37" i="6"/>
  <c r="X37" i="6"/>
  <c r="T103" i="2"/>
  <c r="Q103" i="2"/>
  <c r="R89" i="2"/>
  <c r="Q89" i="2"/>
  <c r="T8" i="12"/>
  <c r="R8" i="12"/>
  <c r="T120" i="18"/>
  <c r="Q91" i="18"/>
  <c r="T89" i="18"/>
  <c r="Q47" i="18"/>
  <c r="Q45" i="18"/>
  <c r="Q39" i="18"/>
  <c r="R12" i="2"/>
  <c r="T12" i="2"/>
  <c r="M63" i="20"/>
  <c r="B93" i="5" s="1"/>
  <c r="T86" i="18"/>
  <c r="N63" i="20"/>
  <c r="C93" i="5" s="1"/>
  <c r="J24" i="20"/>
  <c r="D90" i="5" s="1"/>
  <c r="I63" i="20"/>
  <c r="B92" i="5" s="1"/>
  <c r="J44" i="5" s="1"/>
  <c r="K63" i="20"/>
  <c r="D92" i="5" s="1"/>
  <c r="O63" i="20"/>
  <c r="D93" i="5" s="1"/>
  <c r="G82" i="20"/>
  <c r="B94" i="5"/>
  <c r="K24" i="20"/>
  <c r="E90" i="5"/>
  <c r="K136" i="5" s="1"/>
  <c r="G58" i="5"/>
  <c r="R14" i="10"/>
  <c r="C83" i="5"/>
  <c r="B118" i="5" s="1"/>
  <c r="D128" i="5"/>
  <c r="G128" i="5"/>
  <c r="G132" i="5" s="1"/>
  <c r="J128" i="5"/>
  <c r="K157" i="5" s="1"/>
  <c r="L157" i="5"/>
  <c r="K159" i="5"/>
  <c r="G126" i="5"/>
  <c r="K160" i="5"/>
  <c r="S110" i="15"/>
  <c r="V110" i="15"/>
  <c r="Y110" i="15"/>
  <c r="U110" i="15"/>
  <c r="T110" i="15"/>
  <c r="X110" i="15"/>
  <c r="V20" i="15"/>
  <c r="S20" i="15"/>
  <c r="U20" i="15"/>
  <c r="Y20" i="15"/>
  <c r="T20" i="15"/>
  <c r="X20" i="15"/>
  <c r="J59" i="5"/>
  <c r="D59" i="5"/>
  <c r="K59" i="5"/>
  <c r="G59" i="5"/>
  <c r="S84" i="19"/>
  <c r="R84" i="19"/>
  <c r="T84" i="19"/>
  <c r="W84" i="19"/>
  <c r="X84" i="19"/>
  <c r="U84" i="19"/>
  <c r="Q32" i="18"/>
  <c r="S32" i="18"/>
  <c r="R32" i="18"/>
  <c r="T32" i="18"/>
  <c r="K135" i="5"/>
  <c r="F186" i="5"/>
  <c r="L135" i="5"/>
  <c r="S96" i="18"/>
  <c r="T96" i="18"/>
  <c r="R96" i="18"/>
  <c r="Q64" i="18"/>
  <c r="S64" i="18"/>
  <c r="T64" i="18"/>
  <c r="X46" i="3"/>
  <c r="R46" i="3"/>
  <c r="T46" i="3"/>
  <c r="L21" i="20"/>
  <c r="H24" i="20"/>
  <c r="B90" i="5" s="1"/>
  <c r="T12" i="14"/>
  <c r="Q12" i="14"/>
  <c r="S12" i="14"/>
  <c r="R12" i="14"/>
  <c r="Q8" i="14"/>
  <c r="S8" i="14"/>
  <c r="R8" i="14"/>
  <c r="T8" i="14"/>
  <c r="S55" i="19"/>
  <c r="X55" i="19"/>
  <c r="W55" i="19"/>
  <c r="T55" i="19"/>
  <c r="U49" i="19"/>
  <c r="X49" i="19"/>
  <c r="T49" i="19"/>
  <c r="S49" i="19"/>
  <c r="R49" i="19"/>
  <c r="W49" i="19"/>
  <c r="S16" i="19"/>
  <c r="X16" i="19"/>
  <c r="R16" i="19"/>
  <c r="S80" i="15"/>
  <c r="X80" i="15"/>
  <c r="V80" i="15"/>
  <c r="Y80" i="15"/>
  <c r="Y77" i="15"/>
  <c r="S77" i="15"/>
  <c r="U77" i="15"/>
  <c r="X77" i="15"/>
  <c r="W59" i="19"/>
  <c r="T59" i="19"/>
  <c r="X59" i="19"/>
  <c r="U59" i="19"/>
  <c r="E44" i="5"/>
  <c r="X102" i="15"/>
  <c r="V102" i="15"/>
  <c r="T102" i="15"/>
  <c r="U102" i="15"/>
  <c r="Y102" i="15"/>
  <c r="U99" i="15"/>
  <c r="T99" i="15"/>
  <c r="X99" i="15"/>
  <c r="S62" i="19"/>
  <c r="U62" i="19"/>
  <c r="R62" i="19"/>
  <c r="W62" i="19"/>
  <c r="T49" i="6"/>
  <c r="T44" i="2"/>
  <c r="Q44" i="2"/>
  <c r="R44" i="2"/>
  <c r="S44" i="2"/>
  <c r="G152" i="5"/>
  <c r="R49" i="2"/>
  <c r="Q49" i="2"/>
  <c r="S49" i="2"/>
  <c r="T10" i="10"/>
  <c r="S10" i="10"/>
  <c r="S14" i="10" s="1"/>
  <c r="D83" i="5" s="1"/>
  <c r="S17" i="3"/>
  <c r="T17" i="3"/>
  <c r="T109" i="15"/>
  <c r="T28" i="15"/>
  <c r="U64" i="15"/>
  <c r="U58" i="6"/>
  <c r="R79" i="6"/>
  <c r="Y111" i="15"/>
  <c r="V109" i="15"/>
  <c r="U50" i="15"/>
  <c r="U46" i="15"/>
  <c r="R76" i="19"/>
  <c r="T73" i="19"/>
  <c r="T43" i="18"/>
  <c r="R43" i="18"/>
  <c r="Q78" i="2"/>
  <c r="R78" i="2"/>
  <c r="Q13" i="11"/>
  <c r="Q14" i="11" s="1"/>
  <c r="B82" i="5" s="1"/>
  <c r="S13" i="11"/>
  <c r="S14" i="11" s="1"/>
  <c r="D82" i="5" s="1"/>
  <c r="R13" i="11"/>
  <c r="R91" i="19"/>
  <c r="T91" i="19"/>
  <c r="S123" i="18"/>
  <c r="T52" i="6"/>
  <c r="Q10" i="10"/>
  <c r="Q14" i="10" s="1"/>
  <c r="B83" i="5" s="1"/>
  <c r="G147" i="5" s="1"/>
  <c r="E179" i="5" s="1"/>
  <c r="G179" i="5" s="1"/>
  <c r="S75" i="18"/>
  <c r="R75" i="18"/>
  <c r="R47" i="18"/>
  <c r="T47" i="18"/>
  <c r="U78" i="15"/>
  <c r="X91" i="19"/>
  <c r="T36" i="2"/>
  <c r="S8" i="12"/>
  <c r="Q8" i="12"/>
  <c r="R15" i="19"/>
  <c r="X15" i="19"/>
  <c r="X109" i="15"/>
  <c r="S38" i="15"/>
  <c r="Y28" i="15"/>
  <c r="S91" i="19"/>
  <c r="S79" i="6"/>
  <c r="U33" i="19"/>
  <c r="R33" i="19"/>
  <c r="W78" i="6"/>
  <c r="X78" i="6"/>
  <c r="R78" i="6"/>
  <c r="W139" i="2"/>
  <c r="V111" i="15"/>
  <c r="U91" i="19"/>
  <c r="W91" i="19"/>
  <c r="T15" i="14"/>
  <c r="S15" i="14"/>
  <c r="C60" i="5"/>
  <c r="U17" i="14"/>
  <c r="B60" i="5" s="1"/>
  <c r="G60" i="5" s="1"/>
  <c r="R79" i="18"/>
  <c r="S79" i="18"/>
  <c r="V49" i="3"/>
  <c r="B52" i="5" s="1"/>
  <c r="V14" i="11"/>
  <c r="X17" i="19"/>
  <c r="Q125" i="18"/>
  <c r="T121" i="18"/>
  <c r="T29" i="18"/>
  <c r="R128" i="2"/>
  <c r="Q123" i="2"/>
  <c r="T38" i="2"/>
  <c r="T33" i="2"/>
  <c r="T8" i="10"/>
  <c r="T14" i="10"/>
  <c r="E83" i="5" s="1"/>
  <c r="T16" i="2"/>
  <c r="T53" i="15"/>
  <c r="H128" i="5"/>
  <c r="B157" i="5"/>
  <c r="D157" i="5" s="1"/>
  <c r="F128" i="5"/>
  <c r="J135" i="5"/>
  <c r="D52" i="5"/>
  <c r="K60" i="5"/>
  <c r="D24" i="20"/>
  <c r="L164" i="5"/>
  <c r="L186" i="5"/>
  <c r="L118" i="5"/>
  <c r="H157" i="5"/>
  <c r="H161" i="5" s="1"/>
  <c r="D170" i="5" s="1"/>
  <c r="F157" i="5"/>
  <c r="J161" i="5"/>
  <c r="B134" i="5"/>
  <c r="F134" i="5" s="1"/>
  <c r="D117" i="5"/>
  <c r="G157" i="5"/>
  <c r="I132" i="5"/>
  <c r="G121" i="5"/>
  <c r="S68" i="19"/>
  <c r="T68" i="19"/>
  <c r="T93" i="19"/>
  <c r="D79" i="5" s="1"/>
  <c r="F175" i="5" s="1"/>
  <c r="R68" i="19"/>
  <c r="X68" i="19"/>
  <c r="Q93" i="19"/>
  <c r="S51" i="19"/>
  <c r="W65" i="19"/>
  <c r="X40" i="19"/>
  <c r="X48" i="19"/>
  <c r="R51" i="19"/>
  <c r="T61" i="19"/>
  <c r="W58" i="19"/>
  <c r="U51" i="19"/>
  <c r="T48" i="19"/>
  <c r="W44" i="19"/>
  <c r="S40" i="19"/>
  <c r="T11" i="19"/>
  <c r="T37" i="19"/>
  <c r="U65" i="19"/>
  <c r="X61" i="19"/>
  <c r="W51" i="19"/>
  <c r="R26" i="19"/>
  <c r="W48" i="19"/>
  <c r="X58" i="19"/>
  <c r="R65" i="19"/>
  <c r="U37" i="19"/>
  <c r="T26" i="19"/>
  <c r="S61" i="19"/>
  <c r="R11" i="19"/>
  <c r="U26" i="19"/>
  <c r="R44" i="19"/>
  <c r="X51" i="19"/>
  <c r="U44" i="19"/>
  <c r="W11" i="19"/>
  <c r="W37" i="19"/>
  <c r="X26" i="19"/>
  <c r="U63" i="19"/>
  <c r="X37" i="19"/>
  <c r="T44" i="19"/>
  <c r="X11" i="19"/>
  <c r="X93" i="19" s="1"/>
  <c r="T58" i="19"/>
  <c r="X14" i="19"/>
  <c r="S37" i="19"/>
  <c r="X44" i="19"/>
  <c r="S58" i="19"/>
  <c r="U40" i="19"/>
  <c r="R48" i="19"/>
  <c r="U11" i="19"/>
  <c r="R40" i="19"/>
  <c r="R93" i="19" s="1"/>
  <c r="R67" i="6"/>
  <c r="B94" i="6" s="1"/>
  <c r="T46" i="6"/>
  <c r="R29" i="6"/>
  <c r="R80" i="6"/>
  <c r="S40" i="6"/>
  <c r="W49" i="6"/>
  <c r="R49" i="6"/>
  <c r="X77" i="6"/>
  <c r="R46" i="6"/>
  <c r="T12" i="6"/>
  <c r="T29" i="6"/>
  <c r="W77" i="6"/>
  <c r="T80" i="6"/>
  <c r="U40" i="6"/>
  <c r="X49" i="6"/>
  <c r="U77" i="6"/>
  <c r="W80" i="6"/>
  <c r="U46" i="6"/>
  <c r="S80" i="6"/>
  <c r="X80" i="6"/>
  <c r="S77" i="6"/>
  <c r="X12" i="6"/>
  <c r="W71" i="6"/>
  <c r="U49" i="6"/>
  <c r="T40" i="6"/>
  <c r="R77" i="6"/>
  <c r="S26" i="6"/>
  <c r="R26" i="6"/>
  <c r="W26" i="6"/>
  <c r="S86" i="6"/>
  <c r="R12" i="6"/>
  <c r="R40" i="6"/>
  <c r="U71" i="6"/>
  <c r="X46" i="6"/>
  <c r="S71" i="6"/>
  <c r="U12" i="6"/>
  <c r="R71" i="6"/>
  <c r="U29" i="6"/>
  <c r="R83" i="6"/>
  <c r="T71" i="6"/>
  <c r="T26" i="6"/>
  <c r="S12" i="6"/>
  <c r="X29" i="6"/>
  <c r="X40" i="6"/>
  <c r="U73" i="6"/>
  <c r="X83" i="6"/>
  <c r="U70" i="6"/>
  <c r="T73" i="6"/>
  <c r="W70" i="6"/>
  <c r="W57" i="6"/>
  <c r="S39" i="6"/>
  <c r="R36" i="6"/>
  <c r="R18" i="6"/>
  <c r="W14" i="6"/>
  <c r="T36" i="6"/>
  <c r="T70" i="6"/>
  <c r="T86" i="6"/>
  <c r="U36" i="6"/>
  <c r="U14" i="6"/>
  <c r="U18" i="6"/>
  <c r="W73" i="6"/>
  <c r="R86" i="6"/>
  <c r="W83" i="6"/>
  <c r="S57" i="6"/>
  <c r="R16" i="6"/>
  <c r="S18" i="6"/>
  <c r="X18" i="6"/>
  <c r="X36" i="6"/>
  <c r="R39" i="6"/>
  <c r="X86" i="6"/>
  <c r="S70" i="6"/>
  <c r="W39" i="6"/>
  <c r="W36" i="6"/>
  <c r="X73" i="6"/>
  <c r="R57" i="6"/>
  <c r="U83" i="6"/>
  <c r="S83" i="6"/>
  <c r="U86" i="6"/>
  <c r="X70" i="6"/>
  <c r="X14" i="6"/>
  <c r="X39" i="6"/>
  <c r="S73" i="6"/>
  <c r="T57" i="6"/>
  <c r="S67" i="6"/>
  <c r="T67" i="6"/>
  <c r="U67" i="6"/>
  <c r="X67" i="6"/>
  <c r="R35" i="6"/>
  <c r="T35" i="6"/>
  <c r="U35" i="6"/>
  <c r="X13" i="6"/>
  <c r="R13" i="6"/>
  <c r="Q92" i="6"/>
  <c r="X35" i="6"/>
  <c r="S13" i="6"/>
  <c r="W13" i="6"/>
  <c r="W35" i="6"/>
  <c r="L102" i="5"/>
  <c r="F77" i="5"/>
  <c r="B124" i="5"/>
  <c r="V92" i="6" l="1"/>
  <c r="B53" i="5" s="1"/>
  <c r="J53" i="5" s="1"/>
  <c r="D173" i="5"/>
  <c r="D182" i="5" s="1"/>
  <c r="D190" i="5" s="1"/>
  <c r="H63" i="20"/>
  <c r="F92" i="5" s="1"/>
  <c r="M188" i="5" s="1"/>
  <c r="I187" i="5"/>
  <c r="H187" i="5"/>
  <c r="M187" i="5" s="1"/>
  <c r="G44" i="20"/>
  <c r="B91" i="5" s="1"/>
  <c r="B184" i="5" s="1"/>
  <c r="G184" i="5" s="1"/>
  <c r="H44" i="20"/>
  <c r="C91" i="5" s="1"/>
  <c r="I184" i="5" s="1"/>
  <c r="I44" i="20"/>
  <c r="D91" i="5" s="1"/>
  <c r="H184" i="5" s="1"/>
  <c r="J44" i="20"/>
  <c r="E91" i="5" s="1"/>
  <c r="J184" i="5" s="1"/>
  <c r="M184" i="5" s="1"/>
  <c r="G146" i="5"/>
  <c r="E178" i="5" s="1"/>
  <c r="G178" i="5" s="1"/>
  <c r="B105" i="5"/>
  <c r="B178" i="5" s="1"/>
  <c r="F179" i="5"/>
  <c r="K106" i="5"/>
  <c r="L106" i="5"/>
  <c r="J106" i="5" s="1"/>
  <c r="L147" i="5" s="1"/>
  <c r="L179" i="5" s="1"/>
  <c r="K111" i="5"/>
  <c r="L111" i="5"/>
  <c r="J172" i="5" s="1"/>
  <c r="R136" i="18"/>
  <c r="C80" i="5" s="1"/>
  <c r="B115" i="5" s="1"/>
  <c r="D115" i="5" s="1"/>
  <c r="D55" i="5"/>
  <c r="J55" i="5"/>
  <c r="K55" i="5"/>
  <c r="X43" i="6"/>
  <c r="R43" i="6"/>
  <c r="S43" i="6"/>
  <c r="U139" i="2"/>
  <c r="B54" i="5" s="1"/>
  <c r="D54" i="5" s="1"/>
  <c r="G52" i="5"/>
  <c r="K52" i="5"/>
  <c r="X81" i="15"/>
  <c r="T81" i="15"/>
  <c r="S81" i="15"/>
  <c r="Y81" i="15"/>
  <c r="V81" i="15"/>
  <c r="U81" i="15"/>
  <c r="U48" i="15"/>
  <c r="S48" i="15"/>
  <c r="T48" i="15"/>
  <c r="V48" i="15"/>
  <c r="X48" i="15"/>
  <c r="I24" i="4"/>
  <c r="B70" i="5" s="1"/>
  <c r="J10" i="4"/>
  <c r="K10" i="4" s="1"/>
  <c r="L10" i="4" s="1"/>
  <c r="S93" i="19"/>
  <c r="C79" i="5" s="1"/>
  <c r="T114" i="18"/>
  <c r="Q114" i="18"/>
  <c r="S114" i="18"/>
  <c r="R114" i="18"/>
  <c r="T68" i="18"/>
  <c r="Q68" i="18"/>
  <c r="Q136" i="18" s="1"/>
  <c r="B80" i="5" s="1"/>
  <c r="R68" i="18"/>
  <c r="S51" i="18"/>
  <c r="S136" i="18" s="1"/>
  <c r="D80" i="5" s="1"/>
  <c r="P136" i="18"/>
  <c r="Q51" i="18"/>
  <c r="T51" i="18"/>
  <c r="R51" i="18"/>
  <c r="T74" i="15"/>
  <c r="S74" i="15"/>
  <c r="Y74" i="15"/>
  <c r="X74" i="15"/>
  <c r="V74" i="15"/>
  <c r="U74" i="15"/>
  <c r="K105" i="5"/>
  <c r="F178" i="5"/>
  <c r="K56" i="5"/>
  <c r="D56" i="5"/>
  <c r="G56" i="5"/>
  <c r="J56" i="5"/>
  <c r="AC92" i="6"/>
  <c r="S45" i="2"/>
  <c r="T45" i="2"/>
  <c r="Q45" i="2"/>
  <c r="R45" i="2"/>
  <c r="R139" i="2" s="1"/>
  <c r="C78" i="5" s="1"/>
  <c r="B113" i="5" s="1"/>
  <c r="P139" i="2"/>
  <c r="W116" i="15"/>
  <c r="B61" i="5" s="1"/>
  <c r="H76" i="5"/>
  <c r="B123" i="5"/>
  <c r="S49" i="3"/>
  <c r="C76" i="5" s="1"/>
  <c r="B111" i="5" s="1"/>
  <c r="R49" i="3"/>
  <c r="B76" i="5" s="1"/>
  <c r="L24" i="4"/>
  <c r="C70" i="5" s="1"/>
  <c r="S36" i="15"/>
  <c r="V36" i="15"/>
  <c r="T36" i="15"/>
  <c r="X36" i="15"/>
  <c r="U36" i="15"/>
  <c r="V15" i="15"/>
  <c r="T15" i="15"/>
  <c r="X15" i="15"/>
  <c r="R116" i="15"/>
  <c r="Y15" i="15"/>
  <c r="S15" i="15"/>
  <c r="U15" i="15"/>
  <c r="AD116" i="15"/>
  <c r="Q10" i="12"/>
  <c r="Q17" i="12" s="1"/>
  <c r="B81" i="5" s="1"/>
  <c r="P17" i="12"/>
  <c r="S10" i="12"/>
  <c r="R10" i="12"/>
  <c r="T10" i="12"/>
  <c r="T17" i="12" s="1"/>
  <c r="E81" i="5" s="1"/>
  <c r="G164" i="5"/>
  <c r="E186" i="5" s="1"/>
  <c r="B135" i="5"/>
  <c r="AB139" i="2"/>
  <c r="G55" i="5"/>
  <c r="B152" i="5"/>
  <c r="B163" i="5"/>
  <c r="G163" i="5"/>
  <c r="E183" i="5" s="1"/>
  <c r="G183" i="5" s="1"/>
  <c r="J44" i="4"/>
  <c r="C71" i="5" s="1"/>
  <c r="B95" i="19"/>
  <c r="F79" i="5" s="1"/>
  <c r="T98" i="15"/>
  <c r="U98" i="15"/>
  <c r="Y98" i="15"/>
  <c r="V98" i="15"/>
  <c r="S98" i="15"/>
  <c r="T18" i="15"/>
  <c r="U18" i="15"/>
  <c r="V18" i="15"/>
  <c r="S18" i="15"/>
  <c r="Y18" i="15"/>
  <c r="U43" i="6"/>
  <c r="U92" i="6" s="1"/>
  <c r="E77" i="5" s="1"/>
  <c r="T43" i="6"/>
  <c r="T139" i="2"/>
  <c r="E78" i="5" s="1"/>
  <c r="V101" i="15"/>
  <c r="Y101" i="15"/>
  <c r="U101" i="15"/>
  <c r="X101" i="15"/>
  <c r="S101" i="15"/>
  <c r="V52" i="15"/>
  <c r="U52" i="15"/>
  <c r="T52" i="15"/>
  <c r="X52" i="15"/>
  <c r="S52" i="15"/>
  <c r="T16" i="14"/>
  <c r="R16" i="14"/>
  <c r="R17" i="14" s="1"/>
  <c r="C84" i="5" s="1"/>
  <c r="Q16" i="14"/>
  <c r="S16" i="14"/>
  <c r="S17" i="14" s="1"/>
  <c r="D84" i="5" s="1"/>
  <c r="P17" i="14"/>
  <c r="F183" i="5"/>
  <c r="K134" i="5"/>
  <c r="J134" i="5" s="1"/>
  <c r="L134" i="5"/>
  <c r="L163" i="5" s="1"/>
  <c r="L183" i="5" s="1"/>
  <c r="X71" i="15"/>
  <c r="V71" i="15"/>
  <c r="T71" i="15"/>
  <c r="S71" i="15"/>
  <c r="Y71" i="15"/>
  <c r="R92" i="6"/>
  <c r="B77" i="5" s="1"/>
  <c r="X65" i="6"/>
  <c r="U65" i="6"/>
  <c r="R65" i="6"/>
  <c r="AB92" i="6"/>
  <c r="C53" i="5" s="1"/>
  <c r="W19" i="6"/>
  <c r="W92" i="6" s="1"/>
  <c r="T19" i="6"/>
  <c r="T92" i="6" s="1"/>
  <c r="D77" i="5" s="1"/>
  <c r="R19" i="6"/>
  <c r="S19" i="6"/>
  <c r="X19" i="6"/>
  <c r="X92" i="6" s="1"/>
  <c r="T64" i="2"/>
  <c r="Q64" i="2"/>
  <c r="Q139" i="2" s="1"/>
  <c r="B78" i="5" s="1"/>
  <c r="S64" i="2"/>
  <c r="R64" i="2"/>
  <c r="G153" i="5"/>
  <c r="H77" i="5"/>
  <c r="J60" i="5"/>
  <c r="D60" i="5"/>
  <c r="L24" i="20"/>
  <c r="B153" i="5"/>
  <c r="D153" i="5" s="1"/>
  <c r="I153" i="5" s="1"/>
  <c r="W65" i="6"/>
  <c r="W43" i="6"/>
  <c r="W93" i="19"/>
  <c r="J52" i="5"/>
  <c r="K118" i="5"/>
  <c r="J118" i="5" s="1"/>
  <c r="J179" i="5"/>
  <c r="T104" i="15"/>
  <c r="Y104" i="15"/>
  <c r="X104" i="15"/>
  <c r="V104" i="15"/>
  <c r="S104" i="15"/>
  <c r="U104" i="15"/>
  <c r="F44" i="4"/>
  <c r="B31" i="5" s="1"/>
  <c r="E45" i="5" s="1"/>
  <c r="K102" i="5"/>
  <c r="J102" i="5" s="1"/>
  <c r="T65" i="6"/>
  <c r="Q17" i="14"/>
  <c r="B84" i="5" s="1"/>
  <c r="D57" i="5"/>
  <c r="K57" i="5"/>
  <c r="J57" i="5"/>
  <c r="G57" i="5"/>
  <c r="L99" i="5"/>
  <c r="J99" i="5" s="1"/>
  <c r="L140" i="5" s="1"/>
  <c r="K140" i="5" s="1"/>
  <c r="F172" i="5"/>
  <c r="V45" i="15"/>
  <c r="V116" i="15" s="1"/>
  <c r="E85" i="5" s="1"/>
  <c r="Y45" i="15"/>
  <c r="U45" i="15"/>
  <c r="T45" i="15"/>
  <c r="S45" i="15"/>
  <c r="G44" i="4"/>
  <c r="B71" i="5" s="1"/>
  <c r="G160" i="5" s="1"/>
  <c r="L136" i="5"/>
  <c r="AB17" i="14"/>
  <c r="AA139" i="2"/>
  <c r="C54" i="5" s="1"/>
  <c r="D58" i="5"/>
  <c r="K58" i="5"/>
  <c r="AB93" i="19"/>
  <c r="C55" i="5" s="1"/>
  <c r="AC116" i="15"/>
  <c r="C61" i="5" s="1"/>
  <c r="T14" i="11"/>
  <c r="E82" i="5" s="1"/>
  <c r="AC93" i="19"/>
  <c r="AB49" i="3"/>
  <c r="C52" i="5" s="1"/>
  <c r="V139" i="2"/>
  <c r="U93" i="19"/>
  <c r="E79" i="5" s="1"/>
  <c r="Q11" i="14"/>
  <c r="T11" i="14"/>
  <c r="T17" i="14" s="1"/>
  <c r="E84" i="5" s="1"/>
  <c r="K119" i="5" s="1"/>
  <c r="R102" i="2"/>
  <c r="Q102" i="2"/>
  <c r="K164" i="5"/>
  <c r="H186" i="5" s="1"/>
  <c r="M186" i="5" s="1"/>
  <c r="AB17" i="12"/>
  <c r="S9" i="12"/>
  <c r="S17" i="12" s="1"/>
  <c r="D81" i="5" s="1"/>
  <c r="K104" i="5" s="1"/>
  <c r="R9" i="12"/>
  <c r="R17" i="12" s="1"/>
  <c r="C81" i="5" s="1"/>
  <c r="Q119" i="18"/>
  <c r="S119" i="18"/>
  <c r="W49" i="3"/>
  <c r="AB14" i="10"/>
  <c r="E24" i="7"/>
  <c r="C69" i="5" s="1"/>
  <c r="W14" i="10"/>
  <c r="AB136" i="18"/>
  <c r="S23" i="2"/>
  <c r="S139" i="2" s="1"/>
  <c r="D78" i="5" s="1"/>
  <c r="R23" i="2"/>
  <c r="I24" i="20"/>
  <c r="C90" i="5" s="1"/>
  <c r="B136" i="5" s="1"/>
  <c r="S111" i="18"/>
  <c r="R110" i="18"/>
  <c r="S91" i="18"/>
  <c r="T35" i="18"/>
  <c r="T24" i="18"/>
  <c r="T136" i="18" s="1"/>
  <c r="E80" i="5" s="1"/>
  <c r="R117" i="2"/>
  <c r="Q88" i="2"/>
  <c r="T70" i="2"/>
  <c r="T102" i="18"/>
  <c r="X14" i="3"/>
  <c r="X49" i="3" s="1"/>
  <c r="J132" i="5"/>
  <c r="L143" i="5"/>
  <c r="L175" i="5" s="1"/>
  <c r="G53" i="5"/>
  <c r="K53" i="5" s="1"/>
  <c r="H117" i="5"/>
  <c r="I178" i="5"/>
  <c r="G140" i="5"/>
  <c r="B99" i="5"/>
  <c r="I157" i="5"/>
  <c r="K158" i="5"/>
  <c r="K161" i="5" s="1"/>
  <c r="L161" i="5"/>
  <c r="L170" i="5" s="1"/>
  <c r="D111" i="5"/>
  <c r="F105" i="5"/>
  <c r="D105" i="5"/>
  <c r="H105" i="5" s="1"/>
  <c r="F111" i="5"/>
  <c r="L119" i="5"/>
  <c r="J180" i="5" s="1"/>
  <c r="F124" i="5"/>
  <c r="D124" i="5"/>
  <c r="H124" i="5" s="1"/>
  <c r="J111" i="5"/>
  <c r="J136" i="5"/>
  <c r="J183" i="5" s="1"/>
  <c r="D118" i="5"/>
  <c r="F118" i="5"/>
  <c r="G186" i="5"/>
  <c r="D134" i="5"/>
  <c r="H134" i="5" s="1"/>
  <c r="C183" i="5" s="1"/>
  <c r="B187" i="5"/>
  <c r="L132" i="5"/>
  <c r="B106" i="5"/>
  <c r="L105" i="5"/>
  <c r="F153" i="5"/>
  <c r="B164" i="5"/>
  <c r="K163" i="5"/>
  <c r="H183" i="5" s="1"/>
  <c r="M183" i="5" s="1"/>
  <c r="B183" i="5"/>
  <c r="D53" i="5" l="1"/>
  <c r="B119" i="5"/>
  <c r="G142" i="5"/>
  <c r="E174" i="5" s="1"/>
  <c r="G174" i="5" s="1"/>
  <c r="B101" i="5"/>
  <c r="L103" i="5"/>
  <c r="F176" i="5"/>
  <c r="K103" i="5"/>
  <c r="J103" i="5" s="1"/>
  <c r="L144" i="5" s="1"/>
  <c r="L176" i="5" s="1"/>
  <c r="B103" i="5"/>
  <c r="G144" i="5"/>
  <c r="E176" i="5" s="1"/>
  <c r="G176" i="5" s="1"/>
  <c r="B116" i="5"/>
  <c r="J181" i="5"/>
  <c r="K120" i="5"/>
  <c r="L120" i="5"/>
  <c r="J120" i="5" s="1"/>
  <c r="K115" i="5"/>
  <c r="L115" i="5"/>
  <c r="J176" i="5" s="1"/>
  <c r="D113" i="5"/>
  <c r="F113" i="5"/>
  <c r="L101" i="5"/>
  <c r="F174" i="5"/>
  <c r="K101" i="5"/>
  <c r="J101" i="5" s="1"/>
  <c r="K100" i="5"/>
  <c r="L100" i="5"/>
  <c r="K112" i="5"/>
  <c r="L112" i="5"/>
  <c r="J173" i="5" s="1"/>
  <c r="J182" i="5" s="1"/>
  <c r="J190" i="5" s="1"/>
  <c r="E86" i="5"/>
  <c r="B104" i="5"/>
  <c r="G145" i="5"/>
  <c r="E177" i="5" s="1"/>
  <c r="G177" i="5" s="1"/>
  <c r="D163" i="5"/>
  <c r="I163" i="5" s="1"/>
  <c r="K183" i="5" s="1"/>
  <c r="F163" i="5"/>
  <c r="B129" i="5"/>
  <c r="C72" i="5"/>
  <c r="B158" i="5"/>
  <c r="C62" i="5"/>
  <c r="D152" i="5"/>
  <c r="I152" i="5" s="1"/>
  <c r="F152" i="5"/>
  <c r="T116" i="15"/>
  <c r="C85" i="5" s="1"/>
  <c r="K107" i="5"/>
  <c r="J107" i="5" s="1"/>
  <c r="F180" i="5"/>
  <c r="L107" i="5"/>
  <c r="B159" i="5"/>
  <c r="B130" i="5"/>
  <c r="F177" i="5"/>
  <c r="L104" i="5"/>
  <c r="L113" i="5"/>
  <c r="J174" i="5" s="1"/>
  <c r="K113" i="5"/>
  <c r="J104" i="5"/>
  <c r="G148" i="5"/>
  <c r="E180" i="5" s="1"/>
  <c r="G180" i="5" s="1"/>
  <c r="B107" i="5"/>
  <c r="X116" i="15"/>
  <c r="L117" i="5"/>
  <c r="J178" i="5" s="1"/>
  <c r="K117" i="5"/>
  <c r="J117" i="5" s="1"/>
  <c r="D123" i="5"/>
  <c r="F123" i="5"/>
  <c r="B79" i="5"/>
  <c r="G54" i="5"/>
  <c r="J54" i="5"/>
  <c r="B62" i="5"/>
  <c r="J62" i="5" s="1"/>
  <c r="F115" i="5"/>
  <c r="F136" i="5"/>
  <c r="I183" i="5" s="1"/>
  <c r="D136" i="5"/>
  <c r="H136" i="5" s="1"/>
  <c r="B186" i="5"/>
  <c r="D135" i="5"/>
  <c r="H135" i="5" s="1"/>
  <c r="C186" i="5" s="1"/>
  <c r="F135" i="5"/>
  <c r="U116" i="15"/>
  <c r="D85" i="5" s="1"/>
  <c r="K123" i="5"/>
  <c r="L123" i="5"/>
  <c r="B72" i="5"/>
  <c r="G159" i="5"/>
  <c r="G161" i="5" s="1"/>
  <c r="E170" i="5" s="1"/>
  <c r="G170" i="5" s="1"/>
  <c r="S92" i="6"/>
  <c r="C77" i="5" s="1"/>
  <c r="B100" i="5"/>
  <c r="B125" i="5"/>
  <c r="F86" i="5"/>
  <c r="H79" i="5"/>
  <c r="B154" i="5"/>
  <c r="G154" i="5"/>
  <c r="G155" i="5" s="1"/>
  <c r="E171" i="5" s="1"/>
  <c r="G171" i="5" s="1"/>
  <c r="S116" i="15"/>
  <c r="B85" i="5" s="1"/>
  <c r="B114" i="5"/>
  <c r="K54" i="5"/>
  <c r="J113" i="5"/>
  <c r="J114" i="5"/>
  <c r="L114" i="5"/>
  <c r="J175" i="5" s="1"/>
  <c r="K114" i="5"/>
  <c r="K124" i="5"/>
  <c r="L124" i="5"/>
  <c r="B131" i="5"/>
  <c r="B160" i="5"/>
  <c r="L116" i="5"/>
  <c r="J116" i="5" s="1"/>
  <c r="J177" i="5"/>
  <c r="K116" i="5"/>
  <c r="Y116" i="15"/>
  <c r="D61" i="5"/>
  <c r="G61" i="5"/>
  <c r="J61" i="5"/>
  <c r="K61" i="5"/>
  <c r="H172" i="5"/>
  <c r="H118" i="5"/>
  <c r="I179" i="5"/>
  <c r="H115" i="5"/>
  <c r="I176" i="5"/>
  <c r="G187" i="5"/>
  <c r="D106" i="5"/>
  <c r="H106" i="5" s="1"/>
  <c r="F106" i="5"/>
  <c r="B179" i="5"/>
  <c r="B146" i="5"/>
  <c r="C178" i="5"/>
  <c r="K143" i="5"/>
  <c r="H175" i="5" s="1"/>
  <c r="M175" i="5" s="1"/>
  <c r="D164" i="5"/>
  <c r="I164" i="5" s="1"/>
  <c r="K186" i="5" s="1"/>
  <c r="F164" i="5"/>
  <c r="H113" i="5"/>
  <c r="I174" i="5"/>
  <c r="F99" i="5"/>
  <c r="B172" i="5"/>
  <c r="D99" i="5"/>
  <c r="J105" i="5"/>
  <c r="L146" i="5" s="1"/>
  <c r="L178" i="5" s="1"/>
  <c r="L172" i="5"/>
  <c r="J119" i="5"/>
  <c r="I172" i="5"/>
  <c r="H111" i="5"/>
  <c r="E172" i="5"/>
  <c r="G172" i="5" s="1"/>
  <c r="K147" i="5"/>
  <c r="H179" i="5" s="1"/>
  <c r="M179" i="5" s="1"/>
  <c r="L142" i="5"/>
  <c r="L174" i="5" s="1"/>
  <c r="B173" i="5" l="1"/>
  <c r="D100" i="5"/>
  <c r="H100" i="5" s="1"/>
  <c r="F100" i="5"/>
  <c r="B112" i="5"/>
  <c r="C86" i="5"/>
  <c r="L148" i="5"/>
  <c r="L180" i="5" s="1"/>
  <c r="K121" i="5"/>
  <c r="B102" i="5"/>
  <c r="G143" i="5"/>
  <c r="F159" i="5"/>
  <c r="D159" i="5"/>
  <c r="I159" i="5" s="1"/>
  <c r="F154" i="5"/>
  <c r="F155" i="5" s="1"/>
  <c r="D154" i="5"/>
  <c r="B155" i="5"/>
  <c r="C155" i="5" s="1"/>
  <c r="H123" i="5"/>
  <c r="D126" i="5"/>
  <c r="E126" i="5" s="1"/>
  <c r="B132" i="5"/>
  <c r="F129" i="5"/>
  <c r="D129" i="5"/>
  <c r="J112" i="5"/>
  <c r="B86" i="5"/>
  <c r="B108" i="5"/>
  <c r="G149" i="5"/>
  <c r="E181" i="5" s="1"/>
  <c r="G181" i="5" s="1"/>
  <c r="F158" i="5"/>
  <c r="F161" i="5" s="1"/>
  <c r="D158" i="5"/>
  <c r="B161" i="5"/>
  <c r="C161" i="5" s="1"/>
  <c r="L121" i="5"/>
  <c r="L125" i="5"/>
  <c r="K125" i="5"/>
  <c r="H86" i="5"/>
  <c r="K148" i="5"/>
  <c r="H180" i="5" s="1"/>
  <c r="M180" i="5" s="1"/>
  <c r="D116" i="5"/>
  <c r="F116" i="5"/>
  <c r="B174" i="5"/>
  <c r="F101" i="5"/>
  <c r="D101" i="5"/>
  <c r="H101" i="5" s="1"/>
  <c r="L153" i="5"/>
  <c r="K153" i="5"/>
  <c r="D130" i="5"/>
  <c r="H130" i="5" s="1"/>
  <c r="F130" i="5"/>
  <c r="J124" i="5"/>
  <c r="L152" i="5"/>
  <c r="L145" i="5"/>
  <c r="L177" i="5" s="1"/>
  <c r="B120" i="5"/>
  <c r="I181" i="5"/>
  <c r="J100" i="5"/>
  <c r="L141" i="5" s="1"/>
  <c r="F160" i="5"/>
  <c r="D160" i="5"/>
  <c r="I160" i="5" s="1"/>
  <c r="D125" i="5"/>
  <c r="H125" i="5" s="1"/>
  <c r="F125" i="5"/>
  <c r="F126" i="5" s="1"/>
  <c r="B126" i="5"/>
  <c r="J123" i="5"/>
  <c r="K152" i="5" s="1"/>
  <c r="K126" i="5"/>
  <c r="F103" i="5"/>
  <c r="D103" i="5"/>
  <c r="H103" i="5" s="1"/>
  <c r="B144" i="5" s="1"/>
  <c r="B176" i="5"/>
  <c r="F131" i="5"/>
  <c r="F132" i="5" s="1"/>
  <c r="D131" i="5"/>
  <c r="H131" i="5" s="1"/>
  <c r="F114" i="5"/>
  <c r="D114" i="5"/>
  <c r="F181" i="5"/>
  <c r="K108" i="5"/>
  <c r="K109" i="5" s="1"/>
  <c r="L108" i="5"/>
  <c r="J108" i="5"/>
  <c r="B180" i="5"/>
  <c r="F107" i="5"/>
  <c r="D107" i="5"/>
  <c r="H107" i="5" s="1"/>
  <c r="F104" i="5"/>
  <c r="D104" i="5"/>
  <c r="H104" i="5" s="1"/>
  <c r="B145" i="5" s="1"/>
  <c r="B177" i="5"/>
  <c r="D86" i="5"/>
  <c r="B33" i="5" s="1"/>
  <c r="J115" i="5"/>
  <c r="F119" i="5"/>
  <c r="D119" i="5"/>
  <c r="D146" i="5"/>
  <c r="I146" i="5" s="1"/>
  <c r="K178" i="5" s="1"/>
  <c r="F146" i="5"/>
  <c r="H99" i="5"/>
  <c r="K142" i="5"/>
  <c r="H174" i="5" s="1"/>
  <c r="M174" i="5" s="1"/>
  <c r="B147" i="5"/>
  <c r="C179" i="5"/>
  <c r="K146" i="5"/>
  <c r="H178" i="5" s="1"/>
  <c r="M178" i="5" s="1"/>
  <c r="K144" i="5"/>
  <c r="H176" i="5" s="1"/>
  <c r="M176" i="5" s="1"/>
  <c r="M172" i="5"/>
  <c r="M189" i="5" l="1"/>
  <c r="L173" i="5"/>
  <c r="C126" i="5"/>
  <c r="B171" i="5"/>
  <c r="F120" i="5"/>
  <c r="D120" i="5"/>
  <c r="H120" i="5" s="1"/>
  <c r="F171" i="5"/>
  <c r="I126" i="5"/>
  <c r="J155" i="5"/>
  <c r="F108" i="5"/>
  <c r="B181" i="5"/>
  <c r="D108" i="5"/>
  <c r="H108" i="5" s="1"/>
  <c r="H126" i="5"/>
  <c r="C171" i="5" s="1"/>
  <c r="C132" i="5"/>
  <c r="H170" i="5" s="1"/>
  <c r="M170" i="5" s="1"/>
  <c r="B170" i="5"/>
  <c r="B182" i="5" s="1"/>
  <c r="B190" i="5" s="1"/>
  <c r="L149" i="5"/>
  <c r="L150" i="5" s="1"/>
  <c r="L109" i="5"/>
  <c r="C174" i="5"/>
  <c r="B142" i="5"/>
  <c r="J125" i="5"/>
  <c r="K154" i="5" s="1"/>
  <c r="K155" i="5" s="1"/>
  <c r="E175" i="5"/>
  <c r="D112" i="5"/>
  <c r="B121" i="5"/>
  <c r="F112" i="5"/>
  <c r="H119" i="5"/>
  <c r="I180" i="5"/>
  <c r="K141" i="5"/>
  <c r="H173" i="5" s="1"/>
  <c r="J109" i="5"/>
  <c r="L154" i="5"/>
  <c r="L155" i="5" s="1"/>
  <c r="L171" i="5" s="1"/>
  <c r="I154" i="5"/>
  <c r="I155" i="5" s="1"/>
  <c r="K171" i="5" s="1"/>
  <c r="D155" i="5"/>
  <c r="E155" i="5" s="1"/>
  <c r="F102" i="5"/>
  <c r="F109" i="5" s="1"/>
  <c r="D102" i="5"/>
  <c r="B175" i="5"/>
  <c r="B109" i="5"/>
  <c r="F144" i="5"/>
  <c r="D144" i="5"/>
  <c r="I144" i="5" s="1"/>
  <c r="K176" i="5" s="1"/>
  <c r="L126" i="5"/>
  <c r="J121" i="5"/>
  <c r="B141" i="5"/>
  <c r="F145" i="5"/>
  <c r="D145" i="5"/>
  <c r="I145" i="5" s="1"/>
  <c r="K177" i="5" s="1"/>
  <c r="J126" i="5"/>
  <c r="H129" i="5"/>
  <c r="H132" i="5" s="1"/>
  <c r="C170" i="5" s="1"/>
  <c r="D132" i="5"/>
  <c r="E132" i="5" s="1"/>
  <c r="C176" i="5"/>
  <c r="H114" i="5"/>
  <c r="I175" i="5"/>
  <c r="B148" i="5"/>
  <c r="C180" i="5"/>
  <c r="H116" i="5"/>
  <c r="C177" i="5" s="1"/>
  <c r="I177" i="5"/>
  <c r="I158" i="5"/>
  <c r="I161" i="5" s="1"/>
  <c r="K170" i="5" s="1"/>
  <c r="D161" i="5"/>
  <c r="E161" i="5" s="1"/>
  <c r="K145" i="5"/>
  <c r="H177" i="5" s="1"/>
  <c r="M177" i="5" s="1"/>
  <c r="B140" i="5"/>
  <c r="C172" i="5"/>
  <c r="D147" i="5"/>
  <c r="I147" i="5" s="1"/>
  <c r="K179" i="5" s="1"/>
  <c r="F147" i="5"/>
  <c r="C109" i="5" l="1"/>
  <c r="M173" i="5"/>
  <c r="D148" i="5"/>
  <c r="I148" i="5" s="1"/>
  <c r="K180" i="5" s="1"/>
  <c r="F148" i="5"/>
  <c r="G175" i="5"/>
  <c r="D141" i="5"/>
  <c r="I141" i="5" s="1"/>
  <c r="K173" i="5" s="1"/>
  <c r="F141" i="5"/>
  <c r="H102" i="5"/>
  <c r="D109" i="5"/>
  <c r="B149" i="5"/>
  <c r="C181" i="5"/>
  <c r="H112" i="5"/>
  <c r="D121" i="5"/>
  <c r="C121" i="5" s="1"/>
  <c r="I173" i="5"/>
  <c r="I182" i="5" s="1"/>
  <c r="I190" i="5" s="1"/>
  <c r="H171" i="5"/>
  <c r="M171" i="5" s="1"/>
  <c r="F142" i="5"/>
  <c r="D142" i="5"/>
  <c r="I142" i="5" s="1"/>
  <c r="K174" i="5" s="1"/>
  <c r="F121" i="5"/>
  <c r="L181" i="5"/>
  <c r="L182" i="5" s="1"/>
  <c r="L190" i="5" s="1"/>
  <c r="K149" i="5"/>
  <c r="H181" i="5" s="1"/>
  <c r="M181" i="5" s="1"/>
  <c r="D140" i="5"/>
  <c r="F140" i="5"/>
  <c r="G141" i="5" l="1"/>
  <c r="F173" i="5"/>
  <c r="F182" i="5" s="1"/>
  <c r="F190" i="5" s="1"/>
  <c r="H182" i="5"/>
  <c r="H190" i="5" s="1"/>
  <c r="H121" i="5"/>
  <c r="C173" i="5"/>
  <c r="F149" i="5"/>
  <c r="D149" i="5"/>
  <c r="I149" i="5" s="1"/>
  <c r="K181" i="5" s="1"/>
  <c r="E121" i="5"/>
  <c r="I121" i="5"/>
  <c r="E109" i="5"/>
  <c r="I109" i="5"/>
  <c r="M182" i="5"/>
  <c r="K150" i="5"/>
  <c r="B143" i="5"/>
  <c r="C175" i="5"/>
  <c r="H109" i="5"/>
  <c r="I140" i="5"/>
  <c r="E173" i="5" l="1"/>
  <c r="G150" i="5"/>
  <c r="B34" i="5"/>
  <c r="C182" i="5"/>
  <c r="C190" i="5" s="1"/>
  <c r="D143" i="5"/>
  <c r="F143" i="5"/>
  <c r="F150" i="5" s="1"/>
  <c r="B150" i="5"/>
  <c r="K172" i="5"/>
  <c r="G173" i="5" l="1"/>
  <c r="E182" i="5"/>
  <c r="E190" i="5" s="1"/>
  <c r="I143" i="5"/>
  <c r="D150" i="5"/>
  <c r="E150" i="5" s="1"/>
  <c r="B40" i="5" l="1"/>
  <c r="B44" i="5" s="1"/>
  <c r="K62" i="5" s="1"/>
  <c r="C44" i="5" s="1"/>
  <c r="G182" i="5"/>
  <c r="G190" i="5" s="1"/>
  <c r="C150" i="5"/>
  <c r="K175" i="5"/>
  <c r="K182" i="5" s="1"/>
  <c r="K190" i="5" s="1"/>
  <c r="I150" i="5"/>
  <c r="F44" i="5" l="1"/>
  <c r="I44" i="5" s="1"/>
  <c r="D44" i="5"/>
  <c r="B45" i="5"/>
  <c r="D62" i="5" s="1"/>
  <c r="C45" i="5" s="1"/>
  <c r="H44" i="5" l="1"/>
  <c r="G44" i="5"/>
  <c r="K44" i="5" s="1"/>
  <c r="L44" i="5" s="1"/>
  <c r="D45" i="5"/>
  <c r="G45" i="5" s="1"/>
  <c r="K45" i="5" s="1"/>
  <c r="L45" i="5" s="1"/>
  <c r="F45" i="5"/>
  <c r="H45" i="5" l="1"/>
  <c r="I45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tabulazioni" type="6" refreshedVersion="3" background="1" saveData="1">
    <textPr sourceFile="C:\Documents and Settings\spastore\Desktop\Stabulazioni.tsv" decimal="," thousands=".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Stabulazioni1" type="6" refreshedVersion="3" background="1" saveData="1">
    <textPr sourceFile="C:\Documents and Settings\spastore\Desktop\Stabulazioni.tsv" decimal="," thousands=".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<sst xmlns="http://schemas.openxmlformats.org/spreadsheetml/2006/main" count="2719" uniqueCount="473">
  <si>
    <t>SCROFE</t>
  </si>
  <si>
    <t>SCROFE 160 - 200 KG</t>
  </si>
  <si>
    <t>GESTAZIONE IN BOX MULTIPLO SENZA CORSIA DI DEFECAZIONE ESTERNA - PAVIMENTO PIENO, LAVAGGIO AD ALTA PRESSIONE</t>
  </si>
  <si>
    <t>GESTAZIONE IN BOX MULTIPLO SENZA CORSIA DI DEFECAZIONE ESTERNA - PAVIMENTO PARZIALMENTE FESSURATO (ALMENO 1,5 M LARGHEZZA)</t>
  </si>
  <si>
    <t>GESTAZIONE IN BOX MULTIPLO SENZA CORSIA DI DEFECAZIONE ESTERNA - PAVIMENTO TOTALMENTE FESSURATO</t>
  </si>
  <si>
    <t>GESTAZIONE IN BOX MULTIPLO CON CORSIA DI DEFECAZIONE ESTERNA - PAVIMENTO PIENO, LAVAGGIO CON CASSONE A RIBALTAMENTO</t>
  </si>
  <si>
    <t>GESTAZIONE IN BOX MULTIPLO CON CORSIA DI DEFECAZIONE ESTERNA - PAVIMENTO PIENO, LAVAGGIO AD ALTA PRESSIONE</t>
  </si>
  <si>
    <t>GESTAZIONE IN BOX MULTIPLO CON CORSIA DI DEFECAZIONE ESTERNA - PAVIMENTO PIENO E CORSIA ESTERNA FESSURATA</t>
  </si>
  <si>
    <t>GESTAZIONE IN BOX MULTIPLO CON CORSIA DI DEFECAZIONE ESTERNA - PAVIMENTO PARZIALMENTE FESSURATO E CORSIA ESTERNA FESSURATA</t>
  </si>
  <si>
    <t xml:space="preserve">GESTAZIONE IN BOX MULTIPLO CON CORSIA DI DEFECAZIONE ESTERNA - PAVIMENTO TOTALMENTE FESSURATO </t>
  </si>
  <si>
    <t xml:space="preserve">GESTAZIONE IN POSTA SINGOLA - PAVIMENTO PIENO (LAVAGGIO CON ACQUA AD ALTA PRESSIONE) </t>
  </si>
  <si>
    <t>GESTAZIONE IN POSTA SINGOLA - PAVIMENTO FESSURATO</t>
  </si>
  <si>
    <t>GESTAZIONE IN GRUPPO DINAMICO - ZONA ALIMENTAZIONE E ZONA RIPOSO FESSURATE</t>
  </si>
  <si>
    <t>GESTAZIONE IN GRUPPO DINAMICO - ZONA ALIMENTAZIONE FESSURATA E ZONA RIPOSO SU LETTIERA</t>
  </si>
  <si>
    <t>ZONA PARTO IN GABBIE - GABBIE SOPRAELEVATE E NON E RIMOZIONE CON ACQUA DELLE DEIEZIONI RICADENTI SUL PAVIMENTO PIENO SOTTOSTANTE</t>
  </si>
  <si>
    <t>ZONA PARTO IN GABBIE - GABBIE SOPRAELEVATE CON FOSSA DI STOCCAGGIO SOTTOSTANTE E RIMOZIONE A FINE CICLO OPPURE CON ASPORTAZIONE MECCANICA O CON RICIRCOLO</t>
  </si>
  <si>
    <t>ZONA PARTO SU LETTIERA INTEGRALE (ESTESA A TUTTO IL BOX)</t>
  </si>
  <si>
    <t>VERRI</t>
  </si>
  <si>
    <t>CON LETTIERA</t>
  </si>
  <si>
    <t>SENZA LETTIERA</t>
  </si>
  <si>
    <t>LATTONZOLI (7 - 30 KG)</t>
  </si>
  <si>
    <t>BOX A PAVIMENTO PIENO SENZA CORSIA ESTERNA DI DEFECAZIONE - LAVAGGIO CON ACQUA AD ALTA PRESSIONE</t>
  </si>
  <si>
    <t xml:space="preserve">BOX A PAVIMENTO PARZIALMENTE FESSURATO SENZA CORSIA ESTERNA DI DEFECAZIONE </t>
  </si>
  <si>
    <t xml:space="preserve">BOX A PAVIMENTO INTERAMENTE FESSURATO SENZA CORSIA ESTERNA DI DEFECAZIONE </t>
  </si>
  <si>
    <t>GABBIE MULTIPLE SOPRAELEVATE CON RIMOZIONE AD ACQUA DELLE DEIEZIONI RICADENTI SUL PAVIMENTO SOTTOSTANTE</t>
  </si>
  <si>
    <t>GABBIE MULTIPLE SOPRAELEVATE CON ASPORTAZIONE MECCANICA O CON RICIRCOLO, OPPURE CON FOSSA DI STOCCAGGIO SOTTOSTANTE E SVUOTAMENTO A FINE CICLO</t>
  </si>
  <si>
    <t>BOX SU LETTIERA</t>
  </si>
  <si>
    <t>MAGRONCELLI (31 - 50 KG)</t>
  </si>
  <si>
    <t>IN BOX MULTIPLO SENZA CORSIA DI DEFECAZIONE ESTERNA - PAVIMENTO PIENO E LAVAGGIO AD ALTA PRESSIONE</t>
  </si>
  <si>
    <t>IN BOX MULTIPLO SENZA CORSIA DI DEFECAZIONE ESTERNA - PAVIMENTO PARZIALMENTE FESSURATO (ALMENO 1,5 M LARGHEZZA)</t>
  </si>
  <si>
    <t>IN BOX MULTIPLO SENZA CORSIA DI DEFECAZIONE ESTERNA - PAVIMENTO TOTALMENTE FESSURATO</t>
  </si>
  <si>
    <t>IN BOX MULTIPLO CON CORSIA DI DEFECAZIONE ESTERNA - PAVIMENTO PIENO (ANCHE CORSIA ESTERNA), RIMOZIONE DEIEZIONI CON CASSONE A RIBALTAMENTO</t>
  </si>
  <si>
    <t>IN BOX MULTIPLO CON CORSIA DI DEFECAZIONE ESTERNA - PAVIMENTO PIENO (ANCHE CORSIA ESTERNA), LAVAGGIO AD ALTA PRESSIONE</t>
  </si>
  <si>
    <t>IN BOX MULTIPLO CON CORSIA DI DEFECAZIONE ESTERNA - PAVIMENTO PIENO E CORSIA ESTERNA FESSURATA</t>
  </si>
  <si>
    <t>IN BOX MULTIPLO CON CORSIA DI DEFECAZIONE ESTERNA - PAVIMENTO PARZIALMENTE FESSURATO E CORSIA ESTERNA FESSURATA</t>
  </si>
  <si>
    <t xml:space="preserve">IN BOX MULTIPLO CON CORSIA DI DEFECAZIONE ESTERNA - PAVIMENTO TOTALMENTE FESSURATO (ANCHE CORSIA ESTERNA) </t>
  </si>
  <si>
    <t>SU LETTIERA LIMITATA ALLA CORSIA DI DEFECAZIONE</t>
  </si>
  <si>
    <t>SU LETTIERA INTEGRALE (ESTESA A TUTTO IL BOX)</t>
  </si>
  <si>
    <t>MAGRONI E SCROFETTE (51 - 85 KG)</t>
  </si>
  <si>
    <t>SUINO MAGRO DA MACELLERIA (86 - 110 KG)</t>
  </si>
  <si>
    <t>SUINO GRASSO DA SALUMIFICIO (86 - 160 KG)</t>
  </si>
  <si>
    <t>VACCHE DA LATTE IN LATTAZIONE</t>
  </si>
  <si>
    <t>STABULAZIONE FISSA CON PAGLIA</t>
  </si>
  <si>
    <t>STABULAZIONE FISSA SENZA PAGLIA</t>
  </si>
  <si>
    <t>STABULAZIONE LIBERA SU LETTIERA PERMANENTE</t>
  </si>
  <si>
    <t>STABULAZIONE LIBERA SU CUCCETTA SENZA PAGLIA</t>
  </si>
  <si>
    <t>STABULAZIONE LIBERA SU CUCCETTA CON PAGLIA (GROPPA A GROPPA)</t>
  </si>
  <si>
    <t>STABULAZIONE LIBERA SU CUCCETTA CON PAGLIA (TESTA A TESTA)</t>
  </si>
  <si>
    <t>STABULAZIONE LIBERA SU CUCCETTA CON PAGLIA TOTALE (ANCHE NELLE AREE DI ESERCIZIO)</t>
  </si>
  <si>
    <t>STABULAZIONE LIBERA SU LETTIERA INCLINATA</t>
  </si>
  <si>
    <t>IMPIANTO DI MUNGITURA - ALLEVAMENTI A POSTA FISSA CON LATTODOTTO</t>
  </si>
  <si>
    <t>IMPIANTO DI MUNGITURA - SALA DI MUNGITURA SENZA SALA DI ATTESA</t>
  </si>
  <si>
    <t>IMPIANTO DI MUNGITURA - SALA DI MUNGITURA CON SALA DI ATTESA</t>
  </si>
  <si>
    <t>VACCHE DA LATTE IN ASCIUTTA</t>
  </si>
  <si>
    <t>VACCHE NUTRICI (DA CARNE)</t>
  </si>
  <si>
    <t>RIMONTA VACCHE DA LATTE</t>
  </si>
  <si>
    <t>STABULAZIONE FISSA SU LETTIERA</t>
  </si>
  <si>
    <t>STABULAZIONE LIBERA SU FESSURATO</t>
  </si>
  <si>
    <t>STABULAZIONE LIBERA SU LETTIERA SOLO IN AREA DI RIPOSO</t>
  </si>
  <si>
    <t>STABULAZIONE LIBERA CON PAGLIA TOTALE</t>
  </si>
  <si>
    <t>SVEZZAMENTO VITELLI SU LETTIERA (0 - 6 MESI)</t>
  </si>
  <si>
    <t>SVEZZAMENTO VITELLI SU FESSURATO (0 - 6 MESI)</t>
  </si>
  <si>
    <t xml:space="preserve">BOVINI INGRASSO </t>
  </si>
  <si>
    <t>VITELLI A CARNE BIANCA</t>
  </si>
  <si>
    <t>GABBIE SINGOLE O MULTIPLE SOPRAELEVATE CON LAVAGGIO A BASSA PRESSIONE</t>
  </si>
  <si>
    <t>GABBIE SINGOLE O MULTIPLE SOPRAELEVATE CON LAVAGGIO AD ALTA PRESSIONE</t>
  </si>
  <si>
    <t>GABBIE SINGOLE O MULTIPLE SU FESSURATO SENZA ACQUA DI LAVAGGIO</t>
  </si>
  <si>
    <t>STABULAZIONE FISSA CON PAGLIA O GABBIA SINGOLA</t>
  </si>
  <si>
    <t>BUFALE DA LATTE IN LATTAZIONE</t>
  </si>
  <si>
    <t>BUFALE DA LATTE IN ASCIUTTA</t>
  </si>
  <si>
    <t>BUFALE (DA CARNE)</t>
  </si>
  <si>
    <t xml:space="preserve">RIMONTA BUFALE DA LATTE </t>
  </si>
  <si>
    <t xml:space="preserve">BUFALINI INGRASSO </t>
  </si>
  <si>
    <t>GALLINE OVAIOLE</t>
  </si>
  <si>
    <t>OVAIOLE LEGGERE</t>
  </si>
  <si>
    <t xml:space="preserve">IN BATTERIA DI GABBIE CON TECNICHE DI PREDISIDRATAZIONE (NASTRI VENTILATI) </t>
  </si>
  <si>
    <t xml:space="preserve">IN BATTERIA DI GABBIE CON TECNICHE DI PREDISIDRATAZIONE (FOSSA PROFONDA E TUNNEL ESTERNO O INTERNO) </t>
  </si>
  <si>
    <t xml:space="preserve">IN BATTERIA DI GABBIE SENZA TECNICHE DI PREDISIDRATAZIONE </t>
  </si>
  <si>
    <t>A TERRA CON FESSURATO (POSATOIO) TOTALE O PARZIALE E DISIDRATAZIONE DELLA POLLINA NELLA FOSSA SOTTOSTANTE</t>
  </si>
  <si>
    <t>LAVAGGIO UOVA</t>
  </si>
  <si>
    <t>OVAIOLE PESANTI</t>
  </si>
  <si>
    <t>POLLASTRE</t>
  </si>
  <si>
    <t>IN BATTERIA DI GABBIE CON TECNICHE DI PREDISIDRATAZIONE - NUMERO CICLI /ANNO 2,8)</t>
  </si>
  <si>
    <t>A TERRA (NUMERO CICLI/ANNO 2,8)</t>
  </si>
  <si>
    <t>RIPRODUTTORI LEGGERI</t>
  </si>
  <si>
    <t>RIPRODUTTORI PESANTI</t>
  </si>
  <si>
    <t>POLLI DA CARNE</t>
  </si>
  <si>
    <t>A TERRA CON USO DI LETTIERA (NUMERO CICLI/ANNO 4,5)</t>
  </si>
  <si>
    <t>FARAONE</t>
  </si>
  <si>
    <t>A TERRA CON USO DI LETTIERA</t>
  </si>
  <si>
    <t>TACCHINI</t>
  </si>
  <si>
    <t>TACCHINI - MASCHIO</t>
  </si>
  <si>
    <t>A TERRA CON USO DI LETTIERA (MASCHI - NUMERO CICLI/ANNO 2,0)</t>
  </si>
  <si>
    <t>TACCHINI - FEMMINA</t>
  </si>
  <si>
    <t>A TERRA CON USO DI LETTIERA (FEMMINE - NUMERO CICLI/ANNO 3,0)</t>
  </si>
  <si>
    <t>ANATRE</t>
  </si>
  <si>
    <t>OCHE</t>
  </si>
  <si>
    <t>STRUZZI</t>
  </si>
  <si>
    <t>ALTRI AVICOLI</t>
  </si>
  <si>
    <t>PICCIONI</t>
  </si>
  <si>
    <t>SELVAGGINA</t>
  </si>
  <si>
    <t>ALTRI CUNICOLI</t>
  </si>
  <si>
    <t>CUNICOLI CARNE</t>
  </si>
  <si>
    <t>IN GABBIA CON ASPORTAZIONE CON RASCHIATORE DELLE DEIEZIONI</t>
  </si>
  <si>
    <t>IN GABBIA CON PREDISIDRATAZIONE NELLA FOSSA SOTTOSTANTE E ASPORTAZIONE CON RASCHIATORE</t>
  </si>
  <si>
    <t xml:space="preserve">CUNICOLI RIPRODUTTORI </t>
  </si>
  <si>
    <t>CUNICOLI FATTRICI CICLO CHIUSO</t>
  </si>
  <si>
    <t>ALTRI OVINI</t>
  </si>
  <si>
    <t>OVINI - AGNELLO</t>
  </si>
  <si>
    <t>CON STABULAZIONE IN RECINTI INDIVIDUALI E COLLETTIVI</t>
  </si>
  <si>
    <t>SU GRIGLIATO O FESSURATO</t>
  </si>
  <si>
    <t>OVINI - AGNELLONE</t>
  </si>
  <si>
    <t>PECORE</t>
  </si>
  <si>
    <t>OVINI - PECORA</t>
  </si>
  <si>
    <t>ALTRI CAPRINI</t>
  </si>
  <si>
    <t>CAPRINI - CAPRETTO</t>
  </si>
  <si>
    <t>CAPRINI - INGRASSO</t>
  </si>
  <si>
    <t>CAPRE</t>
  </si>
  <si>
    <t>CAPRINI - CAPRA</t>
  </si>
  <si>
    <t>EQUINI - PULEDRO</t>
  </si>
  <si>
    <t>EQUINI - STALLONE O FATTRICE</t>
  </si>
  <si>
    <t>ZONA PARTO SU LETTIERA INTEGRALE (ESTESA A TUTTO IL BOX) SOLO LETAME</t>
  </si>
  <si>
    <t>CON LETTIERA SOLO LETAME</t>
  </si>
  <si>
    <t>SU LETTIERA INTEGRALE (ESTESA A TUTTO IL BOX) SOLO LETAME</t>
  </si>
  <si>
    <t>STABULAZIONE FISSA CON PAGLIA SOLO LETAME</t>
  </si>
  <si>
    <t>STABULAZIONE LIBERA SU CUCCETTA CON PAGLIA TOTALE (ANCHE NELLE AREE DI ESERCIZIO)  SOLO LETAME</t>
  </si>
  <si>
    <t>STABULAZIONE LIBERA SU LETTIERA INCLINATA SOLO LETAME</t>
  </si>
  <si>
    <t>STABULAZIONE FISSA SU LETTIERA SOLO LETAME</t>
  </si>
  <si>
    <t>STABULAZIONE LIBERA CON PAGLIA TOTALE SOLO LETAME</t>
  </si>
  <si>
    <t>SVEZZAMENTO VITELLI SU LETTIERA (0 - 6 MESI) SOLO LETAME</t>
  </si>
  <si>
    <t>STABULAZIONE LIBERA SU CUCCETTA CON PAGLIA TOTALE (ANCHE NELLE AREE DI ESERCIZIO) SOLO LETAME</t>
  </si>
  <si>
    <t>STABULAZIONE LIBERA SU LETTIERA SOLO IN AREA DI RIPOSO SOLO LETAME</t>
  </si>
  <si>
    <t>IN BATTERIA DI GABBIE CON TECNICHE DI PREDISIDRATAZIONE (NASTRI VENTILATI)  SOLO LETAME</t>
  </si>
  <si>
    <t>IN BATTERIA DI GABBIE CON TECNICHE DI PREDISIDRATAZIONE (FOSSA PROFONDA E TUNNEL ESTERNO O INTERNO)  SOLO LETAME</t>
  </si>
  <si>
    <t>A TERRA CON FESSURATO (POSATOIO) TOTALE O PARZIALE E DISIDRATAZIONE DELLA POLLINA NELLA FOSSA SOTTOSTANTE SOLO LETAME</t>
  </si>
  <si>
    <t>IN BATTERIA DI GABBIE CON TECNICHE DI PREDISIDRATAZIONE - NUMERO CICLI /ANNO 2,8) SOLO LETAME</t>
  </si>
  <si>
    <t>A TERRA (NUMERO CICLI/ANNO 2,8) SOLO LETAME</t>
  </si>
  <si>
    <t>A TERRA CON USO DI LETTIERA (NUMERO CICLI/ANNO 4,5) SOLO LETAME</t>
  </si>
  <si>
    <t>A TERRA CON USO DI LETTIERA SOLO LETAME</t>
  </si>
  <si>
    <t>A TERRA CON USO DI LETTIERA (MASCHI - NUMERO CICLI/ANNO 2,0) SOLO LETAME</t>
  </si>
  <si>
    <t>A TERRA CON USO DI LETTIERA (FEMMINE - NUMERO CICLI/ANNO 3,0) SOLO LETAME</t>
  </si>
  <si>
    <t>CON STABULAZIONE IN RECINTI INDIVIDUALI E COLLETTIVI SOLO LETAME</t>
  </si>
  <si>
    <t>RIMONTA BOVINI DA CARNE</t>
  </si>
  <si>
    <t>NUMERO CAPI</t>
  </si>
  <si>
    <t>TOTALE</t>
  </si>
  <si>
    <t>BOVINI DA CARNE: CALCOLO DELLA PRODUZIONE  DI LIQUAME, LETAME E AZOTO</t>
  </si>
  <si>
    <t>Inserire nella colonna "NUMERO CAPI" il numero di capi in base alla categoria di allevamento, alla classe di età e alla tipologia di stabulazione</t>
  </si>
  <si>
    <t>TOTALE LIQUAME (metri cubi)</t>
  </si>
  <si>
    <t>TOTALE LETAME (metri cubi)</t>
  </si>
  <si>
    <t>N.B.: tabella ordinata in base al peso vivo (kg/capo) e alla tipologia di stabulazione</t>
  </si>
  <si>
    <t>CALCOLO DEGLI STOCCAGGI</t>
  </si>
  <si>
    <t>BOVINI DA LATTE: CALCOLO DELLA PRODUZIONE  DI LIQUAME, LETAME E AZOTO</t>
  </si>
  <si>
    <t>N.B.: Ricordarsi per le vacche in lattazione di indicare anche la tipologia di sala di mungitura (in giallo)! La tabella è ordinata in base al peso vivo (kg/capo) e alla tipologia di stabulazione</t>
  </si>
  <si>
    <t>STRUTTURE DI STOCCAGGIO LIQUAME</t>
  </si>
  <si>
    <t>Progr.</t>
  </si>
  <si>
    <t>CAPACITA' (metri cubi)</t>
  </si>
  <si>
    <t>Inserire nella colonne "in blu" i dati indicati. Nelle colonne "in nero": dati calcolati</t>
  </si>
  <si>
    <t>Descrizione (vasca di accumulo a pareti verticali, fossa di raccolta esterna, fossa interrata, ecc.)</t>
  </si>
  <si>
    <t>Superficie scoperta (m2)</t>
  </si>
  <si>
    <t>Altezza  lorda (inserire i metri)</t>
  </si>
  <si>
    <t>Superficie totale (inserire i m2)</t>
  </si>
  <si>
    <t>STRUTTURE DI STOCCAGGIO LETAME</t>
  </si>
  <si>
    <t>Descrizione (Lettiera, Platea, ecc.)</t>
  </si>
  <si>
    <t>Struttura scoperta? (Indicare: SI o NO)</t>
  </si>
  <si>
    <t>Altezza  (inserire i metri)</t>
  </si>
  <si>
    <t>MC DI LETAME IN VASCA LIQUAMI</t>
  </si>
  <si>
    <t>CALCOLO DELLE ACQUE PIOVANE RICADENTI SU SUPERFICI ESTERNE E CONVOGLIATE IN VASCA LIQUAMI</t>
  </si>
  <si>
    <t>STRUTTURE SCOPERTE</t>
  </si>
  <si>
    <t>Descrizione (Superficie scoperta in cemento, paddock vacche, ecc.)</t>
  </si>
  <si>
    <t>Inserire SI nella colonna "LETAME GESTITO COME LIQUAME" se tutto il letame è convogliato in vasca liquami ed è gestito come liquame</t>
  </si>
  <si>
    <t>TIPOLOGIA DI ALLEVAMENTO</t>
  </si>
  <si>
    <t>ACQUE AGGIUNTIVE</t>
  </si>
  <si>
    <t>CONFORMITA' STOCCAGGI</t>
  </si>
  <si>
    <t>BOVINO DA LATTE</t>
  </si>
  <si>
    <t>BOVINO DA CARNE</t>
  </si>
  <si>
    <t>CAPRINO</t>
  </si>
  <si>
    <t>AVICOLO</t>
  </si>
  <si>
    <t>CUNICOLO</t>
  </si>
  <si>
    <t>EQUINO</t>
  </si>
  <si>
    <t>OVINO</t>
  </si>
  <si>
    <t>SUINO</t>
  </si>
  <si>
    <t>Valore massimo</t>
  </si>
  <si>
    <t>Valore minimo</t>
  </si>
  <si>
    <t>RIEPILOGO DATI INSERITI</t>
  </si>
  <si>
    <t>PESO VIVO INSERITO - Totale per categoria (in tonnellate)</t>
  </si>
  <si>
    <t>TUTTE LE AZIENDE</t>
  </si>
  <si>
    <t>Valore aziendale</t>
  </si>
  <si>
    <t>Valore previsto</t>
  </si>
  <si>
    <t>Valore aziendale (se in montagna)</t>
  </si>
  <si>
    <t>CAPACITA' MINIMA DI STOCCAGGIO PER LETAME (giorni/anno)</t>
  </si>
  <si>
    <t>CAPACITA' DI STOCCAGGIO PER LIQUAME (giorni)</t>
  </si>
  <si>
    <t>LIQUAME</t>
  </si>
  <si>
    <t>LETAME</t>
  </si>
  <si>
    <t>STRUTTURE DI STOCCAGGIO LIQUAME SCOPERTE</t>
  </si>
  <si>
    <t>STRUTTURE DI STOCCAGGIO LETAME SCOPERTE</t>
  </si>
  <si>
    <t>SUPERFICI SCOPERTE (PADDOCK)</t>
  </si>
  <si>
    <t>Superfici (m2)</t>
  </si>
  <si>
    <t>ACQUE AGGIUNTIVE da:</t>
  </si>
  <si>
    <t>QUADRO RIASSUNTIVO</t>
  </si>
  <si>
    <t>QUADRO RIASSUNTIVO PRODUZIONE REFLUI</t>
  </si>
  <si>
    <t>Totale metri cubi prodotti (anno)</t>
  </si>
  <si>
    <t>LETAME TOTALE (metri cubi/anno)</t>
  </si>
  <si>
    <t>TOTALE REFLUI LIQUIDI</t>
  </si>
  <si>
    <t>-</t>
  </si>
  <si>
    <t>Stoccaggi presenti in azienda - metri cubi</t>
  </si>
  <si>
    <t>TABELLA 3: CAPACITA' DI STOCCAGGIO: CALCOLO MESI MINIMI NECESSARI</t>
  </si>
  <si>
    <t>TABELLA 5: REFLUI PRODOTTI E AZOTO TOTALE</t>
  </si>
  <si>
    <t>TABELLA 1: QUADRO RIASSUNTIVO AZIENDALE DEI DATI INSERITI</t>
  </si>
  <si>
    <t>STOCCAGGI  AZIENDALI (in metri cubi):</t>
  </si>
  <si>
    <t>VERIFICARE SE L'AZIENDA DI MONTAGNA HA PESO VIVO ALLEVATO NON SUPERIORE A 3000 kg:</t>
  </si>
  <si>
    <t>AVICOLI: CALCOLO DELLA PRODUZIONE  DI LIQUAME, LETAME E AZOTO</t>
  </si>
  <si>
    <t>CUNICOLI: CALCOLO DELLA PRODUZIONE  DI LIQUAME, LETAME E AZOTO</t>
  </si>
  <si>
    <t>EQUINI: CALCOLO DELLA PRODUZIONE  DI LIQUAME, LETAME E AZOTO</t>
  </si>
  <si>
    <t>CAPRINI: CALCOLO DELLA PRODUZIONE  DI LIQUAME, LETAME E AZOTO</t>
  </si>
  <si>
    <t>OVINI: CALCOLO DELLA PRODUZIONE  DI LIQUAME, LETAME E AZOTO</t>
  </si>
  <si>
    <t>SUINI: CALCOLO DELLA PRODUZIONE  DI LIQUAME, LETAME E AZOTO</t>
  </si>
  <si>
    <t>N.B.: tabella ordinata in base alla "categoria di allevamento" e alla tipologia di stabulazione</t>
  </si>
  <si>
    <t>N.B.: tabella ordinata in base alla categoria di allevamento e alla tipologia di stabulazione</t>
  </si>
  <si>
    <r>
      <t>Superficie scoperta in m2</t>
    </r>
    <r>
      <rPr>
        <b/>
        <sz val="11"/>
        <color indexed="12"/>
        <rFont val="Calibri"/>
        <family val="2"/>
      </rPr>
      <t xml:space="preserve"> (se diversa dalla superficie totale, </t>
    </r>
    <r>
      <rPr>
        <b/>
        <u/>
        <sz val="11"/>
        <color indexed="12"/>
        <rFont val="Calibri"/>
        <family val="2"/>
      </rPr>
      <t>riportare il dato corretto!</t>
    </r>
    <r>
      <rPr>
        <b/>
        <sz val="11"/>
        <color indexed="12"/>
        <rFont val="Calibri"/>
        <family val="2"/>
      </rPr>
      <t>)</t>
    </r>
  </si>
  <si>
    <t>Dove è indicato, "Nel caso  SCRIVERE: …." scrivere esattamente la parola riportata con gli stessi caratteri (ad esempio, "SI" senza accenti).</t>
  </si>
  <si>
    <t>COMUNE (indicare):</t>
  </si>
  <si>
    <t>CUAA (indicare):</t>
  </si>
  <si>
    <t>Inserire nella celle o colonne "in blu" i dati indicati. Nelle celle o colonne "in nero": dati calcolati da formule.</t>
  </si>
  <si>
    <t>RAGIONE SOCIALE DELL'AZIENDA (indicare la denominazione dell'azienda):</t>
  </si>
  <si>
    <t>EVENTUALI ANNOTAZIONI  (modifica parametri produzione liquame/letame, riduzione del numero medio di capi allevati per periodo di pascolamento, ecc.):</t>
  </si>
  <si>
    <t>PAGLIA</t>
  </si>
  <si>
    <t>UB_CAPO</t>
  </si>
  <si>
    <t>ALTRE VACCHE</t>
  </si>
  <si>
    <t>ALTRI VOLATILI</t>
  </si>
  <si>
    <t>BOV. FEMMINE DA 1 A 2 ANNI DA ALLEVAMENTO</t>
  </si>
  <si>
    <t>BUFALI</t>
  </si>
  <si>
    <t>BOV. FEMMINE DA 1 A 2 ANNI DA MACELLO</t>
  </si>
  <si>
    <t>BOV. FEMMINE DI 2 ANNI E PIU' DA ALLEVAMENTO</t>
  </si>
  <si>
    <t>FEMMINE DA 1 A 2 ANNI DA ALLEVAMENTO</t>
  </si>
  <si>
    <t>BOV. FEMMINE DI 2 ANNI E PIU' DA MACELLO</t>
  </si>
  <si>
    <t>BOV. MASCHI DA 1 A 2 ANNI DA ALLEVAMENTO</t>
  </si>
  <si>
    <t>FEMMINE DI 2 ANNI E PIU' DA ALLEVAMENTO</t>
  </si>
  <si>
    <t>BOV. MASCHI DA 1 A 2 ANNI DA MACELLO</t>
  </si>
  <si>
    <t>BOV. MASCHI DI 2 ANNI E PIU' DA MACELLO</t>
  </si>
  <si>
    <t>BOV. VITELLI DA 6 A 12 MESI</t>
  </si>
  <si>
    <t>MASCHI DA 1 A 2 ANNI DA ALLEVAMENTO</t>
  </si>
  <si>
    <t>BOV. VITELLI FINO A 6 MESI</t>
  </si>
  <si>
    <t>BUFALE</t>
  </si>
  <si>
    <t>RIMONTA BUFALE DA CARNE</t>
  </si>
  <si>
    <t>VITELLI DA 6 A 12 MESI</t>
  </si>
  <si>
    <t>CONIGLIE MADRI (FATTRICI)</t>
  </si>
  <si>
    <t>EQUINI CON MENO DI 6 MESI</t>
  </si>
  <si>
    <t>EQUINI CON PIU' DI 6 MESI</t>
  </si>
  <si>
    <t>FEMMINE DA 1 A 2 ANNI DA MACELLO</t>
  </si>
  <si>
    <t>FEMMINE DI 2 ANNI E PIU' DA MACELLO</t>
  </si>
  <si>
    <t>MASCHI DA 1 A 2 ANNI DA MACELLO</t>
  </si>
  <si>
    <t>MASCHI DI 2 ANNI E PIU' DA MACELLO</t>
  </si>
  <si>
    <t>SELVAGGINA AVICOLA</t>
  </si>
  <si>
    <t>SUINI DI PESO INFERIORE A 20 KG (LATTONZOLI)</t>
  </si>
  <si>
    <t>SUINI DI PESO SUPERIORE A 50 KG (DA INGRASSO)</t>
  </si>
  <si>
    <t>SUINI DI PESO SUPERIORE A 50 KG (SCROFETTE DA RIPRODUZIONE)</t>
  </si>
  <si>
    <t>SUINI DI PESO TRA I 20 KG ED I 50 KG (MAGRONI)</t>
  </si>
  <si>
    <t>TORI</t>
  </si>
  <si>
    <t>VACCHE DA LATTE</t>
  </si>
  <si>
    <t>VITELLI FINO A 6 MESI</t>
  </si>
  <si>
    <t>LETAME GESTITO COME LIQUAME (nel caso, SCRIVERE SI)</t>
  </si>
  <si>
    <t>DESCRIZIONE ALLEVAMENTO</t>
  </si>
  <si>
    <t>DESCRIZIONE STABULAZIONE</t>
  </si>
  <si>
    <t>DESCRIZIONE CATEGORIA ALLEVAMENTO</t>
  </si>
  <si>
    <t xml:space="preserve">TOTALE </t>
  </si>
  <si>
    <t>UBA_ CAPO</t>
  </si>
  <si>
    <t>UB TOTALI</t>
  </si>
  <si>
    <t>Inserire nella colonna "ACQUA LAVAGGIO UOVA" i metri cubi all'anno (per tonnellata di peso vivo) utilizzati per l'eventuale lavaggio delle uova (righe evidenziate)</t>
  </si>
  <si>
    <t>UBA TOTALI</t>
  </si>
  <si>
    <t xml:space="preserve">Acque meteoriche aggiuntive </t>
  </si>
  <si>
    <t>Pr.</t>
  </si>
  <si>
    <r>
      <t>Piovosità media (</t>
    </r>
    <r>
      <rPr>
        <b/>
        <u/>
        <sz val="11"/>
        <color indexed="12"/>
        <rFont val="Calibri"/>
        <family val="2"/>
      </rPr>
      <t>inserire il valore in mm/anno</t>
    </r>
    <r>
      <rPr>
        <b/>
        <sz val="11"/>
        <color indexed="12"/>
        <rFont val="Calibri"/>
        <family val="2"/>
      </rPr>
      <t xml:space="preserve"> della zona ove ricade la particella catastale della struttura - vedi F.A. Siarl: Piovosità media)</t>
    </r>
  </si>
  <si>
    <t>Vasca scoperta? (Indicare:       SI - NO - IN PARTE)</t>
  </si>
  <si>
    <r>
      <t>Piovosità media (</t>
    </r>
    <r>
      <rPr>
        <b/>
        <sz val="11"/>
        <color indexed="12"/>
        <rFont val="Calibri"/>
        <family val="2"/>
      </rPr>
      <t>inserire il valore in mm/anno della zona ove ricade la particella catastale della struttura - vedi F.A. Siarl: Piovosità media)</t>
    </r>
  </si>
  <si>
    <t>AZOTO AL CAMPO DA LIQUAME (kg/anno)</t>
  </si>
  <si>
    <t>AZOTO AL CAMPO DA LETAME (kg/anno)</t>
  </si>
  <si>
    <t>AZOTO AL CAMPO TOTALE (kg/anno):</t>
  </si>
  <si>
    <t>ACQUE DI MUNGITURA</t>
  </si>
  <si>
    <t>UB Totali</t>
  </si>
  <si>
    <t>N.B.: tabella ordinata in base al peso vivo (kg/capo), alla descrizione della categoria di allevamento e alla tipologia di stabulazione</t>
  </si>
  <si>
    <t>BUFALINI DA LATTE: CALCOLO DELLA PRODUZIONE  DI LIQUAME, LETAME E AZOTO</t>
  </si>
  <si>
    <t>N.B.: Ricordarsi per le bufale in lattazione di indicare anche la tipologia di sala di mungitura (in verde)! La tabella è ordinata in base al peso vivo (kg/capo) e alla tipologia di stabulazione</t>
  </si>
  <si>
    <t>BUFALINI DA CARNE: CALCOLO DELLA PRODUZIONE  DI LIQUAME, LETAME E AZOTO</t>
  </si>
  <si>
    <t>N.B.: La tabella è ordinata in base al peso vivo (kg/capo) e alla tipologia di stabulazione</t>
  </si>
  <si>
    <t>BUFALINO DA LATTE</t>
  </si>
  <si>
    <t>BUFALINO DA CARNE</t>
  </si>
  <si>
    <t>AZIENDA:</t>
  </si>
  <si>
    <t>CUAA:</t>
  </si>
  <si>
    <r>
      <t>SOLO PER LE ZONE NON VULNERABIL</t>
    </r>
    <r>
      <rPr>
        <u/>
        <sz val="11"/>
        <color indexed="12"/>
        <rFont val="Calibri"/>
        <family val="2"/>
      </rPr>
      <t>I</t>
    </r>
    <r>
      <rPr>
        <b/>
        <sz val="11"/>
        <color indexed="12"/>
        <rFont val="Calibri"/>
        <family val="2"/>
      </rPr>
      <t xml:space="preserve"> (</t>
    </r>
    <r>
      <rPr>
        <b/>
        <u/>
        <sz val="11"/>
        <color indexed="12"/>
        <rFont val="Calibri"/>
        <family val="2"/>
      </rPr>
      <t>in base alla DGR 5868/2007, All. 2 art. 11</t>
    </r>
    <r>
      <rPr>
        <b/>
        <sz val="11"/>
        <color indexed="12"/>
        <rFont val="Calibri"/>
        <family val="2"/>
      </rPr>
      <t>): ALLEVAMENTO DI BOVINI, BUFALINI, EQUINI, SUINI, OVICAPRINI IN COMUNI CLASSIFICATI DI MONTAGNA CON PESO VIVO ALLEVATO NON SUPERIORE A 3000 kg? (</t>
    </r>
    <r>
      <rPr>
        <b/>
        <u/>
        <sz val="11"/>
        <color indexed="12"/>
        <rFont val="Calibri"/>
        <family val="2"/>
      </rPr>
      <t>Nel caso, SCRIVERE: SI</t>
    </r>
    <r>
      <rPr>
        <b/>
        <sz val="11"/>
        <color indexed="12"/>
        <rFont val="Calibri"/>
        <family val="2"/>
      </rPr>
      <t>)</t>
    </r>
  </si>
  <si>
    <t xml:space="preserve">AZIENDE IN COMUNI CLASSIFICATI DI MONTAGNA -  DGR 5868/2007 per Non ZVN (peso vivo allevato &lt;3000 KG) </t>
  </si>
  <si>
    <t>CAPACITA' MINIMA DI STOCCAGGIO PER LIQUAME in base al peso vivo (giorni/anno)</t>
  </si>
  <si>
    <t>(*):</t>
  </si>
  <si>
    <r>
      <t xml:space="preserve">Battente di sicurezza in metri </t>
    </r>
    <r>
      <rPr>
        <b/>
        <sz val="8"/>
        <color indexed="8"/>
        <rFont val="Calibri"/>
        <family val="2"/>
      </rPr>
      <t>(30 cm per vasche completamente scoperte</t>
    </r>
    <r>
      <rPr>
        <b/>
        <sz val="10"/>
        <color indexed="8"/>
        <rFont val="Calibri"/>
        <family val="2"/>
      </rPr>
      <t>*</t>
    </r>
    <r>
      <rPr>
        <b/>
        <sz val="8"/>
        <color indexed="8"/>
        <rFont val="Calibri"/>
        <family val="2"/>
      </rPr>
      <t>)</t>
    </r>
  </si>
  <si>
    <t>nel caso di vasche scoperte "IN PARTE", il battente di sicurezza di 30 cm viene calcolato sulla sola porzione scoperta della vasca (per avere il valore, è necessario indicare la "superficie scoperta in m2")</t>
  </si>
  <si>
    <t xml:space="preserve">N AL CAMPO LIQUAME (kg/t p.v. /anno) </t>
  </si>
  <si>
    <t xml:space="preserve">P2O5 AL CAMPO LIQUAME (kg/t p.v. /anno) </t>
  </si>
  <si>
    <t xml:space="preserve">K2O AL CAMPO LIQUAME (kg/t p.v. /anno) </t>
  </si>
  <si>
    <t>LIQUAME (mc/t p.v./ anno)</t>
  </si>
  <si>
    <t>LETAME (mc/t p.v. anno)</t>
  </si>
  <si>
    <t xml:space="preserve">N AL CAMPO LETAME (kg/t p.v. /anno) </t>
  </si>
  <si>
    <t xml:space="preserve">P2O5 AL CAMPO LETAME (kg/t p.v. /anno) </t>
  </si>
  <si>
    <t xml:space="preserve">K2O AL CAMPO LETAME (kg/t p.v. /anno) </t>
  </si>
  <si>
    <t xml:space="preserve">N AL CAMPO TOTALE (kg/t p.v. /anno) </t>
  </si>
  <si>
    <t>ACQUA LAVAGGIO IMPIANTO MUNGITURA (mc/t p.v. anno)</t>
  </si>
  <si>
    <t>PESO VIVO MEDIO (kg/capo)</t>
  </si>
  <si>
    <t>ACQUA LAVAGGIO UOVA (mc/t p.v./ anno)</t>
  </si>
  <si>
    <t>TOTALE PESO VIVO (tonnellate)</t>
  </si>
  <si>
    <t>TOTALE PESO VIVO (tonn.)</t>
  </si>
  <si>
    <t>AZOTO AL CAMPO NEL LIQUAME (kg/anno)</t>
  </si>
  <si>
    <t>AZOTO AL CAMPO NEL SOLIDO (kg/anno)</t>
  </si>
  <si>
    <t>Efficienza di separazione solido/liquido del liquame (inserire % di efficienza)</t>
  </si>
  <si>
    <t>Efficienza di separazione solido/liquido per l'Azoto (inserire % di efficienza)</t>
  </si>
  <si>
    <t>Percentuale di liquame oggetto di separazione (inserire valore)    (B)</t>
  </si>
  <si>
    <t xml:space="preserve">LIQUAME che è sottoposto a separazione solido/liquido (C=AxB/100)           </t>
  </si>
  <si>
    <t>LIQUAME NON  SOTTOPOSTO A SEPARAZIONE (metri cubi/anno)         (A-C)</t>
  </si>
  <si>
    <t xml:space="preserve">CAPACITA' MINIMA DI STOCCAGGIO PER LIQUAME in base a tipo di liquame prodotto (*) (giorni/anno) </t>
  </si>
  <si>
    <t>Liquame ottenuto dalla separazione</t>
  </si>
  <si>
    <t xml:space="preserve">Liquame originario </t>
  </si>
  <si>
    <t>AZOTO AL CAMPO TOTALE (kg/anno)</t>
  </si>
  <si>
    <t>Superfici scoperte</t>
  </si>
  <si>
    <t>Strutture stoccaggio liquame scoperte</t>
  </si>
  <si>
    <t>Strutture stoccaggio letame scoperte</t>
  </si>
  <si>
    <t>Azoto al campo nel letame</t>
  </si>
  <si>
    <t>Azoto al campo solido separato</t>
  </si>
  <si>
    <t>Efficienza di separazione solido/liquido  (inserire % di efficienza)</t>
  </si>
  <si>
    <t>Acqua sottoposta a separazione solido/liquido (C=AxB/100)</t>
  </si>
  <si>
    <t>TOTALE LIQUAME</t>
  </si>
  <si>
    <t>Azoto al campo nel liquame  - TOTALE</t>
  </si>
  <si>
    <t xml:space="preserve">TOTALE LETAME  </t>
  </si>
  <si>
    <t>TOTALE SOLIDO SEPARATO</t>
  </si>
  <si>
    <t>TIPOLOGIA ALLEVAMENTO</t>
  </si>
  <si>
    <t>AZOTO AL CAMPO DA ACQUE LAVAGGIO (kg/anno)</t>
  </si>
  <si>
    <r>
      <t xml:space="preserve">Azoto kg/mc in acque di lavaggio </t>
    </r>
    <r>
      <rPr>
        <b/>
        <sz val="9"/>
        <color indexed="12"/>
        <rFont val="Calibri"/>
        <family val="2"/>
      </rPr>
      <t>(inserire eventuale dato)</t>
    </r>
  </si>
  <si>
    <t>ACQUE DI LAVAGGIO PER ALLEVAMENTO:</t>
  </si>
  <si>
    <t>LIQUAME TOTALE - escluse le acque di lavaggio            (metri cubi/anno) (A)</t>
  </si>
  <si>
    <t>ACQUE LAVAGGIO</t>
  </si>
  <si>
    <t xml:space="preserve">LIQUAME TOTALE - escluse le acque di lavaggio           (metri cubi/anno) </t>
  </si>
  <si>
    <t>ACQUE DI LAVAGGIO: settore mungitura - lavaggio uova    (metri cubi/anno)</t>
  </si>
  <si>
    <t>TABELLA 2: CALCOLO DELLA CAPACITA' DI STOCCAGGIO E VERIFICA DI CONFORMITA' IN BASE AL TIPO DI LIQUAME PRODOTTO</t>
  </si>
  <si>
    <t>giorni</t>
  </si>
  <si>
    <t>Carenza di stoccaggio pari a:</t>
  </si>
  <si>
    <t xml:space="preserve">volume - mc </t>
  </si>
  <si>
    <t>Stoccaggi necessari minimo - metri cubi</t>
  </si>
  <si>
    <t>Stoccaggi necessari minimo - giorni</t>
  </si>
  <si>
    <t>Stoccaggi presenti in azienda - giorni</t>
  </si>
  <si>
    <t>STABULAZIONE LIBERA SU LETTIERA PERMANENTE *</t>
  </si>
  <si>
    <t>QUANTITA' (m3)</t>
  </si>
  <si>
    <t>AZOTO (kg)</t>
  </si>
  <si>
    <t>QUANTITA' per lo stoccaggio (m3)</t>
  </si>
  <si>
    <t>CESSIONI</t>
  </si>
  <si>
    <t xml:space="preserve">DETTAGLIO ACQUISIZIONI/CESSIONI/PRODOTTI AGGIUNTIVI COINVOLTI NELLO STOCCAGGIO DEGLI EFFLUENTI DI ALLEVAMENTO </t>
  </si>
  <si>
    <t>PRODOTTI AGGIUNTIVI</t>
  </si>
  <si>
    <t>Modalità: Stoccaggio e distribuzione 
(nel caso, SCRIVERE SI)</t>
  </si>
  <si>
    <t>Modalità: solo distribuzione 
(nel caso, SCRIVERE SI)</t>
  </si>
  <si>
    <t>Descrizione</t>
  </si>
  <si>
    <t xml:space="preserve">TABELLA 6: ACQUISIZIONI, CESSIONI E PRODOTTI AGGIUNTIVI COINVOLTI NELLO STOCCAGGIO DEGLI EFFLUENTI DI ALLEVAMENTO </t>
  </si>
  <si>
    <t>TIPOLOGIA</t>
  </si>
  <si>
    <t>QUANTITA' per lo stoccaggio liquido (m3)</t>
  </si>
  <si>
    <t>QUANTITA' per lo stoccaggio solido (m3)</t>
  </si>
  <si>
    <t>Tipo refluo (scrivere: LIQUIDO oppure SOLIDO)</t>
  </si>
  <si>
    <t>QUANTITA' LIQUIDO (m3)</t>
  </si>
  <si>
    <t>QUANTITA' SOLIDO (m3)</t>
  </si>
  <si>
    <t xml:space="preserve"> ---</t>
  </si>
  <si>
    <r>
      <t xml:space="preserve">TOTALE REFLUI PALABILI </t>
    </r>
    <r>
      <rPr>
        <sz val="8.5"/>
        <color indexed="8"/>
        <rFont val="Calibri"/>
        <family val="2"/>
      </rPr>
      <t>(letame - solido separato)</t>
    </r>
  </si>
  <si>
    <t>ACQUISIZIONI, CESSIONI, PRODOTTI AGGIUNTIVI (LIQUIDO)</t>
  </si>
  <si>
    <t>AZOTO da stoccare - tipologia liquido (kg/anno)</t>
  </si>
  <si>
    <t>AZOTO da stoccare - tipologia solido (kg/anno)</t>
  </si>
  <si>
    <t>LIQUAME NON  SOTTOPOSTO A SEPARAZIONE (metri cubi/anno)
(A-C)</t>
  </si>
  <si>
    <t>ACQUE DI LAVAGGIO (mc/anno)
(A)</t>
  </si>
  <si>
    <t>Percentuale di acqua oggetto di separazione  (inserire valore)
(B)</t>
  </si>
  <si>
    <t>ACQUE METEORICHE AGGIUNTIVE (mc/anno)
(A)</t>
  </si>
  <si>
    <t>Percentuale di liquame oggetto di trattamento (inserire valore)    (B)</t>
  </si>
  <si>
    <t xml:space="preserve">LIQUAME che è sottoposto a trattamento anaerobico (C=AxB/100)           </t>
  </si>
  <si>
    <t>LIQUAME NON  SOTTOPOSTO A TRATTAMENTO (metri cubi/anno)         (A-C)</t>
  </si>
  <si>
    <t>AZOTO AL CAMPO USCITO DAL PROCESSO (kg/anno)</t>
  </si>
  <si>
    <t>AZOTO AL CAMPO non sottoposto a trattamento (kg/anno)</t>
  </si>
  <si>
    <t>Percentuale di acqua oggetto di trattamento  (inserire valore)
(B)</t>
  </si>
  <si>
    <t>Acqua sottoposta a trattamento anaerobico (C=AxB/100)</t>
  </si>
  <si>
    <t>Azoto rimanente dopo il trattamento anaerobico (inserire %: 100 se non c'è riduzione)</t>
  </si>
  <si>
    <r>
      <t>TABELLA 7: IMPIANTI DI TRATTAMENTO ANAEROBICO CON RECUPERO DI BIOGAS (</t>
    </r>
    <r>
      <rPr>
        <b/>
        <u/>
        <sz val="11"/>
        <color indexed="8"/>
        <rFont val="Calibri"/>
        <family val="2"/>
      </rPr>
      <t>NON COMPILARE SE NON C'E' TRATTAMENTO ANAEROBICO CON RECUPERO DI BIOGAS</t>
    </r>
    <r>
      <rPr>
        <b/>
        <sz val="11"/>
        <color indexed="8"/>
        <rFont val="Calibri"/>
        <family val="2"/>
      </rPr>
      <t>)</t>
    </r>
  </si>
  <si>
    <t>Liquame ottenuto dal trattamento anaerobico</t>
  </si>
  <si>
    <t>LIQUAME AGGIUNTIVO (metri cubi/anno)
(A)</t>
  </si>
  <si>
    <t>Percentuale di liquame oggetto di separazione  (inserire valore)
(B)</t>
  </si>
  <si>
    <t>Liquame aggiuntivo sottoposto a separazione solido/liquido (C=AxB/100)</t>
  </si>
  <si>
    <t>Azoto al campo (liquame) kg/anno</t>
  </si>
  <si>
    <t>Azoto al campo (refluo solido) kg/anno</t>
  </si>
  <si>
    <r>
      <t>Acque meteoriche aggiuntive</t>
    </r>
    <r>
      <rPr>
        <b/>
        <sz val="10"/>
        <color indexed="8"/>
        <rFont val="Calibri"/>
        <family val="2"/>
      </rPr>
      <t xml:space="preserve"> (mc/anno)</t>
    </r>
  </si>
  <si>
    <t xml:space="preserve">ACQUISIZIONI LIQUIDO </t>
  </si>
  <si>
    <t>ACQUISIZIONI SOLIDO</t>
  </si>
  <si>
    <t>VOLUME DEL REFLUO uscito dal processo (mc/anno)</t>
  </si>
  <si>
    <t>LIQUAME FINALE RIMASTO (mc/anno)</t>
  </si>
  <si>
    <t>PRODOTTI aggiuntivi</t>
  </si>
  <si>
    <t>LIQUAME SEPARATO PRODOTTO (mc/anno)</t>
  </si>
  <si>
    <t>SOLIDO SEPARATO PRODOTTO (mc/anno)</t>
  </si>
  <si>
    <t xml:space="preserve">TABELLA 9: SINTESI TRATTAMENTO ANAEROBICO CON RECUPERO DI BIOGAS E/O SEPARAZIONE SOLIDO LIQUIDO: </t>
  </si>
  <si>
    <t>ESEMPIO DI MODELLO SEMPLIFICATO PER IL CALCOLO DEGLI STOCCAGGI IN AZIENDE ESONERATE DALLA PRESENTAZIONE DELLA COMUNICAZIONE NITRATI (VOLUMI DI EFFLUENTI IN BASE ALLA DGR 5171/2016).  I RISULTATI OTTENUTI SONO PURAMENTE INDICATIVI E DEVONO ESSERE SOTTOPOSTI A VERIFICA CON I PARAMETRI DI LEGGE DA PARTE DELL'UTILIZZATORE DEL MODELLO</t>
  </si>
  <si>
    <t>QUANTITA' per la distribuzione liquido (m3)</t>
  </si>
  <si>
    <t>QUANTITA' per la distribuzione solido (m3)</t>
  </si>
  <si>
    <t>AZOTO da distribuire - tipologia liquido (kg/anno)</t>
  </si>
  <si>
    <t>AZOTO da distribuire - tipologia solido (kg/anno)</t>
  </si>
  <si>
    <t>Prodotto:</t>
  </si>
  <si>
    <t>Utilizzato:</t>
  </si>
  <si>
    <t>TABELLA 7: IMPIANTI DI TRATTAMENTO ANAEROBICO CON RECUPERO DI BIOGAS</t>
  </si>
  <si>
    <t>TABELLA 8: SEPARAZIONE SOLIDO LIQUIDO</t>
  </si>
  <si>
    <t>Tipo refluo (solido non compostato, ecc. )</t>
  </si>
  <si>
    <t>PRODOTTI AGGIUNTIVI (VEGETALI)</t>
  </si>
  <si>
    <t>Azoto al campo nel liquame non trattato / non separato</t>
  </si>
  <si>
    <t>AZOTO TOTALE (kg)</t>
  </si>
  <si>
    <t>AZOTO ZOOTECNICO (kg)</t>
  </si>
  <si>
    <t>ISTRUZIONI DI COMPILAZIONE: Compilare prima di tutto i fogli di lavoro relativi alle categorie di bestiame allevate in azienda. Quindi, compilare il prospetto "Stoccaggi", il prospetto "Aree_Scoperte" e il prospetto "Acquis_Cessioni_Prod_Agg", con le cessioni e le acquisizioni di reflui e prodotti aggiuntivi. Nel "Quadro_Riassuntivo" vengono riportati i dati complessivi aziendali.</t>
  </si>
  <si>
    <t>Azoto zootecnico (solido+liquido)
kg/anno</t>
  </si>
  <si>
    <t>LETAME TOTALE      (metri cubi/anno) (A)</t>
  </si>
  <si>
    <t>Percentuale di letame oggetto di trattamento (inserire valore)    (B)</t>
  </si>
  <si>
    <t xml:space="preserve">LETAME che è sottoposto a trattamento anaerobico (C=AxB/100)           </t>
  </si>
  <si>
    <t>LETAME NON  SOTTOPOSTO A TRATTAMENTO (metri cubi/anno)         (A-C)</t>
  </si>
  <si>
    <t>SUINO GRASSO DA SALUMIFICIO (31 - 160 KG)</t>
  </si>
  <si>
    <t xml:space="preserve">TOTALE K2O (kg/anno) </t>
  </si>
  <si>
    <t>LIQUAME NON  SOTTOPOSTO A SEPARAZIONE (mc/anno)
(A-C)</t>
  </si>
  <si>
    <t xml:space="preserve">Totale Liquame non sottoposto a separazione o trattamento        </t>
  </si>
  <si>
    <t>Liquame non oggetto di trattamento e separazione</t>
  </si>
  <si>
    <t>CESSIONI DI REFLUO PER LO STOCCAGGIO</t>
  </si>
  <si>
    <t xml:space="preserve">TOTALE P2O5 (kg/anno) </t>
  </si>
  <si>
    <r>
      <t>AZIENDA CHE UTILIZZA IMPIANTI DI TRATTAMENTO ANAEROBICO CON RECUPERO DI  BIOGAS? (</t>
    </r>
    <r>
      <rPr>
        <b/>
        <u/>
        <sz val="11"/>
        <color indexed="30"/>
        <rFont val="Calibri"/>
        <family val="2"/>
      </rPr>
      <t>nel caso, SCRIVERE: SI</t>
    </r>
    <r>
      <rPr>
        <b/>
        <sz val="11"/>
        <color indexed="30"/>
        <rFont val="Calibri"/>
        <family val="2"/>
      </rPr>
      <t>)</t>
    </r>
  </si>
  <si>
    <r>
      <t>AZIENDA CHE UTILIZZA IMPIANTI DI SEPARAZIONE SOLIDO/LIQUIDO (</t>
    </r>
    <r>
      <rPr>
        <b/>
        <u/>
        <sz val="11"/>
        <color indexed="30"/>
        <rFont val="Calibri"/>
        <family val="2"/>
      </rPr>
      <t>nel caso, SCRIVERE: SI</t>
    </r>
    <r>
      <rPr>
        <b/>
        <sz val="11"/>
        <color indexed="30"/>
        <rFont val="Calibri"/>
        <family val="2"/>
      </rPr>
      <t>)</t>
    </r>
  </si>
  <si>
    <t>di cui Azoto da e.a.:</t>
  </si>
  <si>
    <t xml:space="preserve">TOTALE P2O5 
(kg/anno) </t>
  </si>
  <si>
    <t>ACQUISIZIONI CON STOCCAGGIO E DISTRIBUZIONE</t>
  </si>
  <si>
    <t xml:space="preserve">(Quantità liquido)* (Numero di giorni) </t>
  </si>
  <si>
    <r>
      <t xml:space="preserve">(*): Vedi il Programma d'Azione regionale pubblicato con DGR 5171/2016, punto 4.3.2.1: </t>
    </r>
    <r>
      <rPr>
        <i/>
        <sz val="11"/>
        <color indexed="8"/>
        <rFont val="Calibri"/>
        <family val="2"/>
      </rPr>
      <t xml:space="preserve">I contenitori per lo stoccaggio dei liquami e dei materiali ad essi assimilati devono avere un volume non inferiore a quello del liquame prodotto in allevamenti stabulati in: a) 120 giorni - per gli allevamenti di bovini da latte, bufalini, equini e ovicaprini in aziende con terreni caratterizzati da assetti colturali che prevedono la presenza di pascoli o prati di media o lunga durata o cereali autunno-vernini, ivi compresi i medicai; b) 180 giorni - in presenza di tipologie di allevamento diverse da quelle della lettera a. Nei comuni classificati di montagna, per gli allevamenti di bovini, bufalini, equini, suini e ovicaprini, qualora il peso vivo allevato non superi i 3.000 kg, è richiesta una capacità di stoccaggio dei materiali non palabili non inferiore a 90 giorni.
</t>
    </r>
    <r>
      <rPr>
        <sz val="11"/>
        <color theme="1"/>
        <rFont val="Calibri"/>
        <family val="2"/>
        <scheme val="minor"/>
      </rPr>
      <t>Esempio: Avicoli, Bovini da carne e Suini: 180 giorni; Bovini da latte, bufalini, equini e ovicaprini: 120 giorni se l'azienda di destinazione rientra nella categoria indicata.</t>
    </r>
  </si>
  <si>
    <t>ACQUISIZIONI CON SOLA DISTRIBUZIONE</t>
  </si>
  <si>
    <t>Stoccaggio necessario (contando le cessioni) - metri cubi</t>
  </si>
  <si>
    <t xml:space="preserve">Prodotti aggiuntivi </t>
  </si>
  <si>
    <r>
      <t xml:space="preserve">Acquisizioni </t>
    </r>
    <r>
      <rPr>
        <sz val="8.5"/>
        <color indexed="8"/>
        <rFont val="Calibri"/>
        <family val="2"/>
      </rPr>
      <t>(stoccaggio)</t>
    </r>
  </si>
  <si>
    <t>CONFORMITA'  STOCCAGGI 
(considerando le cessioni con "stoccaggio e distribuzione")</t>
  </si>
  <si>
    <r>
      <rPr>
        <b/>
        <u/>
        <sz val="10.5"/>
        <color indexed="12"/>
        <rFont val="Calibri"/>
        <family val="2"/>
      </rPr>
      <t>Capacità minima di stoccaggio liquame in base alla tipologia di bestiame di provenienza</t>
    </r>
    <r>
      <rPr>
        <b/>
        <sz val="10.5"/>
        <color indexed="12"/>
        <rFont val="Calibri"/>
        <family val="2"/>
      </rPr>
      <t xml:space="preserve"> -</t>
    </r>
    <r>
      <rPr>
        <b/>
        <u/>
        <sz val="10.5"/>
        <color indexed="12"/>
        <rFont val="Calibri"/>
        <family val="2"/>
      </rPr>
      <t xml:space="preserve"> INSERIRE NUMERO DI GIORNI (*)</t>
    </r>
  </si>
  <si>
    <t>LIQUIDO (volumi in mc/anno; azoto in kg/anno)</t>
  </si>
  <si>
    <t>SOLIDO (volumi in mc/anno; azoto in kg/anno)</t>
  </si>
  <si>
    <t>TOTALE REFLUI AZIENDALI     (comprese cessioni)</t>
  </si>
  <si>
    <t>ACQUISIZIONI (stoccaggio e distribuz.)</t>
  </si>
  <si>
    <t>TOTALE REFLUI e AZOTO SOLO DA E.A. (escluse cessioni e azoto da prodotti aggiuntivi)</t>
  </si>
  <si>
    <t>ACQUISIZIONI (Stoccaggio e distribuz.)</t>
  </si>
  <si>
    <t>ACQUISIZIONI (Distribuzione)</t>
  </si>
  <si>
    <t>CESSIONI (Stoccaggio e distribuzione)</t>
  </si>
  <si>
    <t>CESSIONI (Distribuzione)</t>
  </si>
  <si>
    <t>SUINO MAGRO DA MACELLERIA (31 - 110 KG)</t>
  </si>
  <si>
    <t>IN BOX MULTIPLO CON CORSIA DI DEFECAZIONE ESTERNA - PAVIMENTO TOTALMENTE FESSURATO (ANCHE CORSIA ESTERNA)</t>
  </si>
  <si>
    <t xml:space="preserve">P2O5 AL CAMPO TOTALE (kg/t p.v. /anno) </t>
  </si>
  <si>
    <t xml:space="preserve">K20 AL CAMPO TOTALE (kg/t p.v. /anno) </t>
  </si>
  <si>
    <t>I valori riportati fanno riferimento a quelli utilizzati dal sistema informatizzato "Procedura nitrati" adottato da Regione Lombardia per la gestione delle Comunicazioni nitrati (www.agricoltura.regione.lombardia.it)</t>
  </si>
  <si>
    <r>
      <t>ALLEVAMENTI DI BOVINI DA LATTE, BUFALINI, EQUINI E OVICAPRINI IN AZIENDE CON PRESENZA DI PASCOLI, O PRATI DI MEDIA O LUNGA DURATA, O CEREALI AUTUNNO-VERNINI, IVI COMPRESI I MEDICAI? (</t>
    </r>
    <r>
      <rPr>
        <b/>
        <u/>
        <sz val="11"/>
        <color indexed="12"/>
        <rFont val="Calibri"/>
        <family val="2"/>
      </rPr>
      <t>nel caso, SCRIVERE: SI</t>
    </r>
    <r>
      <rPr>
        <b/>
        <sz val="11"/>
        <color indexed="12"/>
        <rFont val="Calibri"/>
        <family val="2"/>
      </rPr>
      <t>)</t>
    </r>
  </si>
  <si>
    <t>Torna in alto</t>
  </si>
  <si>
    <t xml:space="preserve">Descrizione ACQUISIZIONE (Codice, CUAA Acquirente) </t>
  </si>
  <si>
    <t xml:space="preserve">Descrizione PRODOTTO AGGIUNTIVO (Codice, CUAA Acquirente) </t>
  </si>
  <si>
    <t xml:space="preserve">TOTALE K2O 
(kg/anno) </t>
  </si>
  <si>
    <r>
      <t>TABELLA 8: SEPARAZIONE SOLIDO LIQUIDO (</t>
    </r>
    <r>
      <rPr>
        <b/>
        <u/>
        <sz val="11"/>
        <color indexed="8"/>
        <rFont val="Calibri"/>
        <family val="2"/>
      </rPr>
      <t>NON COMPILARE SE NON C'E' TRATTAMENTO DI SEPARAZIONE SOLIDO/LIQUIDO</t>
    </r>
    <r>
      <rPr>
        <b/>
        <sz val="11"/>
        <color indexed="8"/>
        <rFont val="Calibri"/>
        <family val="2"/>
      </rPr>
      <t>)
N.B.: NEL CASO DI TRATTAMENTO ANAEROBICO CON PRODUZIONE DI BIOGAS, VENGONO RIPRESI I VALORI DI TABELLA 7</t>
    </r>
  </si>
  <si>
    <r>
      <t xml:space="preserve">N.B.: NEL MODELLO, SI CONSIDERANO IN MODO SINTETICO LE CESSIONI E LE ACQUISIZIONI DI REFLUI  PER IL LORO UTILIZZO NEI PROCESSI DI TRATTAMENTO E PER IL CALCOLO DELLA CAPACITA' DI STOCCAGGIO IN BASE AL QUANTITATIVO DI REFLUO CEDUTO O ACQUISITO PER LO STOCCAGGIO; PER AVERE UN MAGGIOR DETTAGLIO SI DOVRA' EFFETTUARE UN CONTEGGIO SEPARATO. 
PER IL TRATTAMENTO ANAEROBICO CON RECUPERO DI BIOGAS E PER LA SEPARAZIONE SOLIDO-LIQUIDO, IL VALORE OTTENUTO E' UNA STIMA IN BASE AI DATI INSERITI. PER I REFLUI LIQUIDI, IL MODELLO EFFETTUA IL CALCOLO DEGLI STOCCAGGI MINIMI NECESSARI (in mc e in giorni) E LA VERIFICA DI CONFORMITA' IN BASE ALLA QUANTITA' DI LIQUAME PRODOTTO DALLE DIVERSE TIPOLOGIE DI BESTIAME. 
</t>
    </r>
    <r>
      <rPr>
        <b/>
        <u/>
        <sz val="11"/>
        <rFont val="Tahoma"/>
        <family val="2"/>
      </rPr>
      <t>I RISULTATI OTTENUTI SONO PURAMENTE INDICATIVI</t>
    </r>
    <r>
      <rPr>
        <b/>
        <sz val="11"/>
        <rFont val="Tahoma"/>
        <family val="2"/>
      </rPr>
      <t>.</t>
    </r>
  </si>
  <si>
    <t xml:space="preserve">Descrizione CESSIONE (Codice, CUAA Acquirente) </t>
  </si>
  <si>
    <t>Azoto da e.a. uscito dal processo</t>
  </si>
  <si>
    <t>*: verificare i parametri di produzione di liquame/letame e di azoto per questa tipologia di allevamento (DGR 5171/2016, Allegato I)</t>
  </si>
  <si>
    <t>*: verificare i parametri di  produzione di azoto per questa tipologia di allevamento (in base a DGR 5171/2016, Allegato I).</t>
  </si>
  <si>
    <t>: verificare i parametri di produzione di azoto e fosforo per queste tipologie di allevamento  (in base a DGR 5171/2016, Allegato I).</t>
  </si>
  <si>
    <t>: verificare i parametri di produzione di e.a. e azoto</t>
  </si>
  <si>
    <t>TABELLA 4: ACQUE METEORICHE AGGIUNTIVE E ACQUE REFLUE: CALCOLO</t>
  </si>
  <si>
    <t>ACQUE REFLUE</t>
  </si>
  <si>
    <t>Acque reflue</t>
  </si>
  <si>
    <r>
      <t xml:space="preserve">Azoto kg/anno </t>
    </r>
    <r>
      <rPr>
        <b/>
        <sz val="11"/>
        <color indexed="12"/>
        <rFont val="Calibri"/>
        <family val="2"/>
      </rPr>
      <t>(inserire eventuale dato)</t>
    </r>
  </si>
  <si>
    <r>
      <t xml:space="preserve">Acque reflue </t>
    </r>
    <r>
      <rPr>
        <b/>
        <sz val="10"/>
        <color indexed="12"/>
        <rFont val="Calibri"/>
        <family val="2"/>
      </rPr>
      <t>mc/anno (inserire eventuale dato)</t>
    </r>
  </si>
  <si>
    <t>(*): per le acque meteoriche, le acque di lavaggio, le acque reflue e per le biomasse/matrici vegeatli inserite come prodotto aggiuntivo alla digestione anaerobica, si considera una capacità minima di stoccaggio pari a 120 giorni/anno, indipendentemente dalla tipologia di allevamento, come definto dalla DGR 5171/2016 e come calcolato dal sistema informatico predisposto da Regione Lombardia per la presentazione della Comunicazione Nitrati. Se si è indicato "SI" al quesito sulle aziende in comune montani (p.v. &lt; 3000 kg), le acque meteoriche e di lavaggio sono calcolate per uno stoccaggio minimo di 90 giorni.</t>
  </si>
  <si>
    <t>IMPIANTO DI MUNGITURA - ROBOT</t>
  </si>
  <si>
    <t>Refluo prodotto nel trattamento anaerobico del liquame (inserire valore %; 100% se non c'è riduzione)</t>
  </si>
  <si>
    <t>ACQUISIZIONI (*)
(solo distribuzione)</t>
  </si>
  <si>
    <t>CESSIONI (*)
di cui Azoto da e.a.:</t>
  </si>
  <si>
    <t>(*): Il "SOLIDO SEPARATO" acquisito o ceduto viene indicato nelle colonne relative a "Totale Letame" e "Azoto al campo nel letame"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</si>
</sst>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7.5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sz val="11"/>
      <color indexed="12"/>
      <name val="Calibri"/>
      <family val="2"/>
    </font>
    <font>
      <b/>
      <sz val="11"/>
      <color indexed="12"/>
      <name val="Calibri"/>
      <family val="2"/>
    </font>
    <font>
      <b/>
      <sz val="8"/>
      <color indexed="8"/>
      <name val="Calibri"/>
      <family val="2"/>
    </font>
    <font>
      <b/>
      <sz val="9"/>
      <name val="Tahoma"/>
      <family val="2"/>
    </font>
    <font>
      <b/>
      <sz val="11"/>
      <name val="Calibri"/>
      <family val="2"/>
    </font>
    <font>
      <b/>
      <u/>
      <sz val="11"/>
      <color indexed="12"/>
      <name val="Calibri"/>
      <family val="2"/>
    </font>
    <font>
      <b/>
      <sz val="11"/>
      <name val="Tahoma"/>
      <family val="2"/>
    </font>
    <font>
      <sz val="11"/>
      <color indexed="8"/>
      <name val="Calibri"/>
      <family val="2"/>
    </font>
    <font>
      <b/>
      <sz val="8"/>
      <color indexed="12"/>
      <name val="Tahoma"/>
      <family val="2"/>
    </font>
    <font>
      <sz val="8"/>
      <color indexed="8"/>
      <name val="Calibri"/>
      <family val="2"/>
    </font>
    <font>
      <b/>
      <sz val="9"/>
      <color indexed="12"/>
      <name val="Tahoma"/>
      <family val="2"/>
    </font>
    <font>
      <sz val="9"/>
      <color indexed="8"/>
      <name val="Tahoma"/>
      <family val="2"/>
    </font>
    <font>
      <sz val="8"/>
      <color indexed="8"/>
      <name val="Tahoma"/>
      <family val="2"/>
    </font>
    <font>
      <b/>
      <sz val="9"/>
      <color indexed="12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b/>
      <u/>
      <sz val="11"/>
      <color indexed="8"/>
      <name val="Calibri"/>
      <family val="2"/>
    </font>
    <font>
      <sz val="8.5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30"/>
      <name val="Calibri"/>
      <family val="2"/>
    </font>
    <font>
      <b/>
      <u/>
      <sz val="11"/>
      <color indexed="30"/>
      <name val="Calibri"/>
      <family val="2"/>
    </font>
    <font>
      <b/>
      <u/>
      <sz val="11"/>
      <name val="Tahoma"/>
      <family val="2"/>
    </font>
    <font>
      <b/>
      <i/>
      <sz val="11"/>
      <name val="Calibri"/>
      <family val="2"/>
    </font>
    <font>
      <i/>
      <sz val="11"/>
      <color indexed="8"/>
      <name val="Calibri"/>
      <family val="2"/>
    </font>
    <font>
      <b/>
      <sz val="10.5"/>
      <color indexed="12"/>
      <name val="Calibri"/>
      <family val="2"/>
    </font>
    <font>
      <b/>
      <u/>
      <sz val="10.5"/>
      <color indexed="12"/>
      <name val="Calibri"/>
      <family val="2"/>
    </font>
    <font>
      <i/>
      <u/>
      <sz val="11"/>
      <color indexed="12"/>
      <name val="Calibri"/>
      <family val="2"/>
    </font>
    <font>
      <b/>
      <sz val="10"/>
      <color indexed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>
      <protection locked="0"/>
    </xf>
    <xf numFmtId="0" fontId="2" fillId="0" borderId="0"/>
    <xf numFmtId="0" fontId="2" fillId="0" borderId="0"/>
  </cellStyleXfs>
  <cellXfs count="594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Protection="1"/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6" fillId="0" borderId="0" xfId="0" applyFont="1"/>
    <xf numFmtId="0" fontId="6" fillId="0" borderId="0" xfId="0" applyFont="1" applyFill="1"/>
    <xf numFmtId="0" fontId="8" fillId="4" borderId="1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0" fillId="0" borderId="1" xfId="0" applyBorder="1"/>
    <xf numFmtId="0" fontId="16" fillId="0" borderId="0" xfId="0" applyFont="1" applyBorder="1" applyAlignment="1" applyProtection="1">
      <alignment horizontal="left" vertical="center"/>
    </xf>
    <xf numFmtId="0" fontId="17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2" fontId="0" fillId="0" borderId="1" xfId="0" quotePrefix="1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2" fontId="5" fillId="0" borderId="0" xfId="0" applyNumberFormat="1" applyFont="1" applyBorder="1"/>
    <xf numFmtId="0" fontId="5" fillId="0" borderId="0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0" fillId="0" borderId="2" xfId="0" applyBorder="1"/>
    <xf numFmtId="0" fontId="5" fillId="0" borderId="6" xfId="0" applyFont="1" applyBorder="1"/>
    <xf numFmtId="0" fontId="0" fillId="0" borderId="5" xfId="0" applyBorder="1"/>
    <xf numFmtId="0" fontId="0" fillId="0" borderId="7" xfId="0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Fill="1" applyBorder="1"/>
    <xf numFmtId="2" fontId="5" fillId="0" borderId="10" xfId="0" applyNumberFormat="1" applyFont="1" applyFill="1" applyBorder="1"/>
    <xf numFmtId="0" fontId="5" fillId="0" borderId="5" xfId="0" applyFont="1" applyFill="1" applyBorder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0" fillId="0" borderId="6" xfId="0" applyNumberFormat="1" applyBorder="1"/>
    <xf numFmtId="4" fontId="5" fillId="0" borderId="7" xfId="0" applyNumberFormat="1" applyFont="1" applyBorder="1"/>
    <xf numFmtId="0" fontId="13" fillId="0" borderId="1" xfId="0" applyFont="1" applyBorder="1" applyProtection="1">
      <protection locked="0"/>
    </xf>
    <xf numFmtId="4" fontId="13" fillId="0" borderId="1" xfId="0" applyNumberFormat="1" applyFont="1" applyBorder="1" applyProtection="1">
      <protection locked="0"/>
    </xf>
    <xf numFmtId="0" fontId="5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7" xfId="0" applyFont="1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Fill="1"/>
    <xf numFmtId="0" fontId="21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</xf>
    <xf numFmtId="0" fontId="22" fillId="0" borderId="0" xfId="0" applyFont="1"/>
    <xf numFmtId="0" fontId="4" fillId="0" borderId="1" xfId="0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15" fillId="0" borderId="0" xfId="0" applyFont="1"/>
    <xf numFmtId="0" fontId="3" fillId="0" borderId="1" xfId="4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4" borderId="1" xfId="3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quotePrefix="1" applyFont="1" applyBorder="1" applyAlignment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>
      <alignment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25" fillId="4" borderId="1" xfId="0" applyFont="1" applyFill="1" applyBorder="1" applyAlignment="1">
      <alignment vertical="center" wrapText="1"/>
    </xf>
    <xf numFmtId="0" fontId="25" fillId="0" borderId="0" xfId="0" applyFont="1"/>
    <xf numFmtId="0" fontId="4" fillId="0" borderId="11" xfId="0" applyFont="1" applyFill="1" applyBorder="1" applyAlignment="1" applyProtection="1">
      <alignment horizontal="center" vertical="center"/>
    </xf>
    <xf numFmtId="2" fontId="25" fillId="0" borderId="12" xfId="0" applyNumberFormat="1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4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2" fontId="17" fillId="0" borderId="7" xfId="0" applyNumberFormat="1" applyFont="1" applyFill="1" applyBorder="1" applyAlignment="1" applyProtection="1">
      <alignment horizontal="center"/>
    </xf>
    <xf numFmtId="0" fontId="25" fillId="0" borderId="1" xfId="0" applyFont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2" fontId="25" fillId="3" borderId="1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Border="1" applyAlignment="1">
      <alignment vertical="center" wrapText="1"/>
    </xf>
    <xf numFmtId="4" fontId="6" fillId="0" borderId="6" xfId="0" applyNumberFormat="1" applyFont="1" applyBorder="1" applyProtection="1"/>
    <xf numFmtId="4" fontId="1" fillId="0" borderId="7" xfId="0" applyNumberFormat="1" applyFont="1" applyBorder="1"/>
    <xf numFmtId="4" fontId="1" fillId="0" borderId="8" xfId="0" applyNumberFormat="1" applyFont="1" applyBorder="1"/>
    <xf numFmtId="4" fontId="17" fillId="0" borderId="8" xfId="0" applyNumberFormat="1" applyFont="1" applyFill="1" applyBorder="1" applyAlignment="1" applyProtection="1">
      <alignment horizontal="center"/>
    </xf>
    <xf numFmtId="0" fontId="17" fillId="0" borderId="0" xfId="0" applyFont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/>
    </xf>
    <xf numFmtId="4" fontId="12" fillId="0" borderId="0" xfId="0" applyNumberFormat="1" applyFont="1" applyBorder="1" applyAlignment="1" applyProtection="1">
      <alignment horizontal="left" vertical="center"/>
    </xf>
    <xf numFmtId="4" fontId="17" fillId="0" borderId="1" xfId="0" applyNumberFormat="1" applyFont="1" applyBorder="1"/>
    <xf numFmtId="0" fontId="16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4" fontId="27" fillId="0" borderId="1" xfId="0" applyNumberFormat="1" applyFont="1" applyBorder="1" applyAlignment="1">
      <alignment horizontal="center"/>
    </xf>
    <xf numFmtId="4" fontId="27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left" indent="1"/>
    </xf>
    <xf numFmtId="0" fontId="27" fillId="0" borderId="0" xfId="0" applyFont="1" applyBorder="1" applyAlignment="1">
      <alignment horizontal="left" indent="1"/>
    </xf>
    <xf numFmtId="0" fontId="27" fillId="0" borderId="0" xfId="0" applyFont="1" applyBorder="1"/>
    <xf numFmtId="4" fontId="27" fillId="0" borderId="0" xfId="0" applyNumberFormat="1" applyFont="1"/>
    <xf numFmtId="0" fontId="27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28" fillId="0" borderId="1" xfId="0" applyNumberFormat="1" applyFont="1" applyBorder="1" applyAlignment="1">
      <alignment horizontal="center"/>
    </xf>
    <xf numFmtId="4" fontId="28" fillId="0" borderId="1" xfId="0" applyNumberFormat="1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 applyProtection="1">
      <alignment horizontal="center"/>
    </xf>
    <xf numFmtId="4" fontId="3" fillId="0" borderId="11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 vertical="center"/>
    </xf>
    <xf numFmtId="4" fontId="3" fillId="0" borderId="1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5" fillId="0" borderId="0" xfId="0" applyFont="1" applyFill="1"/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0" fillId="0" borderId="2" xfId="0" applyFill="1" applyBorder="1"/>
    <xf numFmtId="0" fontId="13" fillId="0" borderId="1" xfId="0" applyFont="1" applyFill="1" applyBorder="1" applyProtection="1">
      <protection locked="0"/>
    </xf>
    <xf numFmtId="4" fontId="13" fillId="0" borderId="1" xfId="0" applyNumberFormat="1" applyFont="1" applyFill="1" applyBorder="1" applyProtection="1"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/>
    <xf numFmtId="4" fontId="0" fillId="0" borderId="1" xfId="0" applyNumberFormat="1" applyFill="1" applyBorder="1"/>
    <xf numFmtId="4" fontId="17" fillId="0" borderId="1" xfId="0" applyNumberFormat="1" applyFont="1" applyFill="1" applyBorder="1" applyAlignment="1" applyProtection="1">
      <alignment horizontal="center" vertical="center" wrapText="1"/>
    </xf>
    <xf numFmtId="2" fontId="14" fillId="0" borderId="1" xfId="0" applyNumberFormat="1" applyFont="1" applyFill="1" applyBorder="1" applyAlignment="1" applyProtection="1">
      <alignment horizontal="center"/>
      <protection locked="0"/>
    </xf>
    <xf numFmtId="4" fontId="0" fillId="0" borderId="6" xfId="0" applyNumberFormat="1" applyFill="1" applyBorder="1" applyAlignment="1" applyProtection="1">
      <alignment horizontal="center"/>
    </xf>
    <xf numFmtId="0" fontId="1" fillId="0" borderId="5" xfId="0" applyFont="1" applyFill="1" applyBorder="1"/>
    <xf numFmtId="0" fontId="1" fillId="0" borderId="7" xfId="0" applyFont="1" applyFill="1" applyBorder="1"/>
    <xf numFmtId="4" fontId="5" fillId="0" borderId="7" xfId="0" applyNumberFormat="1" applyFont="1" applyFill="1" applyBorder="1"/>
    <xf numFmtId="4" fontId="1" fillId="0" borderId="7" xfId="0" quotePrefix="1" applyNumberFormat="1" applyFont="1" applyFill="1" applyBorder="1" applyAlignment="1">
      <alignment horizontal="center"/>
    </xf>
    <xf numFmtId="0" fontId="1" fillId="0" borderId="0" xfId="0" applyFont="1" applyFill="1"/>
    <xf numFmtId="0" fontId="14" fillId="0" borderId="3" xfId="0" applyFont="1" applyFill="1" applyBorder="1" applyAlignment="1">
      <alignment vertical="center" wrapText="1"/>
    </xf>
    <xf numFmtId="4" fontId="0" fillId="0" borderId="7" xfId="0" applyNumberFormat="1" applyBorder="1"/>
    <xf numFmtId="0" fontId="19" fillId="0" borderId="0" xfId="0" applyFont="1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center" vertical="center"/>
    </xf>
    <xf numFmtId="0" fontId="25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>
      <alignment horizontal="center" vertical="center"/>
    </xf>
    <xf numFmtId="2" fontId="25" fillId="5" borderId="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29" fillId="0" borderId="0" xfId="0" applyFont="1"/>
    <xf numFmtId="49" fontId="30" fillId="0" borderId="0" xfId="0" applyNumberFormat="1" applyFont="1"/>
    <xf numFmtId="0" fontId="30" fillId="0" borderId="0" xfId="0" applyFont="1" applyFill="1" applyAlignment="1">
      <alignment horizontal="left"/>
    </xf>
    <xf numFmtId="49" fontId="30" fillId="0" borderId="0" xfId="0" applyNumberFormat="1" applyFont="1" applyFill="1"/>
    <xf numFmtId="0" fontId="30" fillId="0" borderId="0" xfId="0" applyNumberFormat="1" applyFont="1" applyAlignment="1">
      <alignment horizontal="left"/>
    </xf>
    <xf numFmtId="4" fontId="0" fillId="0" borderId="1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3" fontId="6" fillId="0" borderId="0" xfId="0" applyNumberFormat="1" applyFont="1"/>
    <xf numFmtId="3" fontId="21" fillId="2" borderId="1" xfId="3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6" fillId="0" borderId="0" xfId="0" applyNumberFormat="1" applyFont="1" applyFill="1"/>
    <xf numFmtId="4" fontId="3" fillId="0" borderId="0" xfId="0" applyNumberFormat="1" applyFont="1" applyBorder="1" applyAlignment="1" applyProtection="1">
      <alignment horizontal="center" vertical="center"/>
    </xf>
    <xf numFmtId="2" fontId="3" fillId="0" borderId="1" xfId="4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right" vertical="center" wrapText="1"/>
    </xf>
    <xf numFmtId="2" fontId="25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 applyProtection="1">
      <alignment horizontal="left" vertical="center"/>
    </xf>
    <xf numFmtId="4" fontId="27" fillId="0" borderId="0" xfId="0" applyNumberFormat="1" applyFont="1" applyBorder="1" applyAlignment="1">
      <alignment horizont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4" fillId="6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 applyProtection="1">
      <protection locked="0"/>
    </xf>
    <xf numFmtId="0" fontId="4" fillId="4" borderId="1" xfId="0" applyFont="1" applyFill="1" applyBorder="1" applyAlignment="1">
      <alignment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4" fontId="0" fillId="0" borderId="1" xfId="0" applyNumberFormat="1" applyBorder="1" applyProtection="1"/>
    <xf numFmtId="4" fontId="0" fillId="0" borderId="6" xfId="0" applyNumberFormat="1" applyBorder="1" applyProtection="1"/>
    <xf numFmtId="0" fontId="5" fillId="0" borderId="5" xfId="0" applyFont="1" applyFill="1" applyBorder="1" applyProtection="1"/>
    <xf numFmtId="4" fontId="5" fillId="0" borderId="7" xfId="0" applyNumberFormat="1" applyFont="1" applyBorder="1" applyProtection="1"/>
    <xf numFmtId="4" fontId="5" fillId="0" borderId="15" xfId="0" applyNumberFormat="1" applyFont="1" applyBorder="1" applyProtection="1"/>
    <xf numFmtId="4" fontId="5" fillId="0" borderId="16" xfId="0" applyNumberFormat="1" applyFont="1" applyBorder="1" applyProtection="1"/>
    <xf numFmtId="0" fontId="5" fillId="0" borderId="3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 wrapText="1"/>
    </xf>
    <xf numFmtId="4" fontId="17" fillId="0" borderId="7" xfId="0" applyNumberFormat="1" applyFont="1" applyBorder="1"/>
    <xf numFmtId="4" fontId="5" fillId="0" borderId="18" xfId="0" applyNumberFormat="1" applyFont="1" applyBorder="1"/>
    <xf numFmtId="4" fontId="5" fillId="0" borderId="19" xfId="0" applyNumberFormat="1" applyFont="1" applyFill="1" applyBorder="1"/>
    <xf numFmtId="4" fontId="5" fillId="0" borderId="8" xfId="0" applyNumberFormat="1" applyFont="1" applyBorder="1"/>
    <xf numFmtId="4" fontId="5" fillId="0" borderId="20" xfId="0" applyNumberFormat="1" applyFont="1" applyBorder="1" applyProtection="1"/>
    <xf numFmtId="4" fontId="5" fillId="0" borderId="21" xfId="0" applyNumberFormat="1" applyFont="1" applyBorder="1" applyProtection="1"/>
    <xf numFmtId="4" fontId="5" fillId="0" borderId="5" xfId="0" applyNumberFormat="1" applyFont="1" applyBorder="1" applyAlignment="1" applyProtection="1">
      <alignment horizontal="right"/>
    </xf>
    <xf numFmtId="4" fontId="5" fillId="0" borderId="7" xfId="0" applyNumberFormat="1" applyFont="1" applyBorder="1" applyAlignment="1" applyProtection="1">
      <alignment horizontal="right"/>
    </xf>
    <xf numFmtId="4" fontId="5" fillId="0" borderId="8" xfId="0" applyNumberFormat="1" applyFont="1" applyBorder="1" applyProtection="1"/>
    <xf numFmtId="0" fontId="0" fillId="0" borderId="22" xfId="0" applyBorder="1" applyProtection="1"/>
    <xf numFmtId="4" fontId="0" fillId="0" borderId="2" xfId="0" applyNumberFormat="1" applyBorder="1"/>
    <xf numFmtId="0" fontId="0" fillId="0" borderId="23" xfId="0" applyBorder="1" applyProtection="1"/>
    <xf numFmtId="4" fontId="0" fillId="0" borderId="24" xfId="0" applyNumberFormat="1" applyBorder="1"/>
    <xf numFmtId="4" fontId="0" fillId="0" borderId="25" xfId="0" applyNumberFormat="1" applyBorder="1"/>
    <xf numFmtId="0" fontId="5" fillId="0" borderId="13" xfId="0" applyFont="1" applyBorder="1" applyAlignment="1">
      <alignment horizontal="center" vertical="center" wrapText="1"/>
    </xf>
    <xf numFmtId="0" fontId="27" fillId="0" borderId="9" xfId="0" applyFont="1" applyBorder="1"/>
    <xf numFmtId="4" fontId="17" fillId="0" borderId="19" xfId="0" applyNumberFormat="1" applyFont="1" applyBorder="1"/>
    <xf numFmtId="4" fontId="0" fillId="0" borderId="1" xfId="0" quotePrefix="1" applyNumberForma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" fontId="0" fillId="0" borderId="6" xfId="0" quotePrefix="1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4" fontId="0" fillId="0" borderId="5" xfId="0" applyNumberFormat="1" applyBorder="1"/>
    <xf numFmtId="4" fontId="5" fillId="0" borderId="8" xfId="0" quotePrefix="1" applyNumberFormat="1" applyFont="1" applyBorder="1" applyAlignment="1">
      <alignment horizontal="center"/>
    </xf>
    <xf numFmtId="4" fontId="1" fillId="0" borderId="1" xfId="0" applyNumberFormat="1" applyFont="1" applyBorder="1" applyProtection="1"/>
    <xf numFmtId="0" fontId="5" fillId="0" borderId="26" xfId="0" applyFont="1" applyBorder="1" applyProtection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 applyProtection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25" fillId="7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0" fillId="0" borderId="0" xfId="0" applyFill="1" applyAlignment="1">
      <alignment horizontal="center"/>
    </xf>
    <xf numFmtId="0" fontId="30" fillId="0" borderId="0" xfId="0" applyFont="1" applyFill="1" applyAlignment="1">
      <alignment horizontal="center"/>
    </xf>
    <xf numFmtId="49" fontId="30" fillId="0" borderId="0" xfId="0" applyNumberFormat="1" applyFont="1" applyFill="1" applyAlignment="1">
      <alignment horizontal="center"/>
    </xf>
    <xf numFmtId="4" fontId="13" fillId="0" borderId="1" xfId="0" applyNumberFormat="1" applyFont="1" applyFill="1" applyBorder="1" applyAlignment="1" applyProtection="1">
      <alignment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 wrapText="1"/>
    </xf>
    <xf numFmtId="0" fontId="45" fillId="0" borderId="0" xfId="0" applyFont="1"/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 applyProtection="1">
      <alignment vertical="center"/>
    </xf>
    <xf numFmtId="4" fontId="13" fillId="0" borderId="1" xfId="0" applyNumberFormat="1" applyFont="1" applyBorder="1" applyAlignment="1" applyProtection="1">
      <alignment vertical="center"/>
      <protection locked="0"/>
    </xf>
    <xf numFmtId="4" fontId="0" fillId="0" borderId="6" xfId="0" applyNumberFormat="1" applyBorder="1" applyAlignment="1" applyProtection="1">
      <alignment vertical="center"/>
    </xf>
    <xf numFmtId="4" fontId="13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vertical="center"/>
    </xf>
    <xf numFmtId="4" fontId="13" fillId="0" borderId="7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vertical="center"/>
    </xf>
    <xf numFmtId="4" fontId="0" fillId="0" borderId="25" xfId="0" applyNumberFormat="1" applyBorder="1" applyAlignment="1" applyProtection="1">
      <alignment vertical="center"/>
    </xf>
    <xf numFmtId="4" fontId="13" fillId="0" borderId="25" xfId="0" applyNumberFormat="1" applyFont="1" applyBorder="1" applyAlignment="1" applyProtection="1">
      <alignment horizontal="right" vertical="center"/>
      <protection locked="0"/>
    </xf>
    <xf numFmtId="4" fontId="0" fillId="0" borderId="27" xfId="0" applyNumberFormat="1" applyBorder="1" applyAlignment="1" applyProtection="1">
      <alignment vertical="center"/>
    </xf>
    <xf numFmtId="4" fontId="13" fillId="0" borderId="24" xfId="0" applyNumberFormat="1" applyFont="1" applyBorder="1" applyAlignment="1" applyProtection="1">
      <alignment horizontal="right" vertical="center"/>
      <protection locked="0"/>
    </xf>
    <xf numFmtId="0" fontId="17" fillId="0" borderId="13" xfId="0" applyFon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4" fontId="45" fillId="0" borderId="8" xfId="0" applyNumberFormat="1" applyFont="1" applyFill="1" applyBorder="1" applyAlignment="1">
      <alignment vertical="center" wrapText="1"/>
    </xf>
    <xf numFmtId="49" fontId="30" fillId="0" borderId="0" xfId="0" applyNumberFormat="1" applyFont="1" applyFill="1" applyAlignment="1">
      <alignment horizontal="left"/>
    </xf>
    <xf numFmtId="0" fontId="0" fillId="0" borderId="2" xfId="0" applyFon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4" fontId="0" fillId="0" borderId="7" xfId="0" quotePrefix="1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 applyAlignment="1" applyProtection="1">
      <alignment vertical="center"/>
    </xf>
    <xf numFmtId="4" fontId="13" fillId="0" borderId="0" xfId="0" applyNumberFormat="1" applyFont="1" applyBorder="1" applyAlignment="1" applyProtection="1">
      <alignment vertical="center"/>
      <protection locked="0"/>
    </xf>
    <xf numFmtId="4" fontId="0" fillId="0" borderId="1" xfId="0" quotePrefix="1" applyNumberFormat="1" applyBorder="1" applyAlignment="1">
      <alignment horizontal="right" vertical="center" wrapText="1"/>
    </xf>
    <xf numFmtId="4" fontId="0" fillId="0" borderId="4" xfId="0" applyNumberFormat="1" applyBorder="1"/>
    <xf numFmtId="0" fontId="0" fillId="0" borderId="28" xfId="0" applyBorder="1" applyProtection="1"/>
    <xf numFmtId="4" fontId="0" fillId="0" borderId="3" xfId="0" applyNumberFormat="1" applyBorder="1"/>
    <xf numFmtId="0" fontId="0" fillId="0" borderId="2" xfId="0" quotePrefix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4" fillId="0" borderId="29" xfId="0" applyFont="1" applyBorder="1" applyAlignment="1" applyProtection="1">
      <alignment horizontal="center" vertical="center" wrapText="1"/>
    </xf>
    <xf numFmtId="4" fontId="13" fillId="0" borderId="12" xfId="0" applyNumberFormat="1" applyFont="1" applyBorder="1" applyAlignment="1" applyProtection="1">
      <alignment vertical="center"/>
      <protection locked="0"/>
    </xf>
    <xf numFmtId="4" fontId="13" fillId="0" borderId="7" xfId="0" applyNumberFormat="1" applyFont="1" applyBorder="1" applyAlignment="1" applyProtection="1">
      <alignment vertical="center"/>
      <protection locked="0"/>
    </xf>
    <xf numFmtId="4" fontId="13" fillId="0" borderId="5" xfId="0" applyNumberFormat="1" applyFont="1" applyBorder="1" applyAlignment="1" applyProtection="1">
      <alignment vertical="center"/>
      <protection locked="0"/>
    </xf>
    <xf numFmtId="4" fontId="13" fillId="0" borderId="6" xfId="0" applyNumberFormat="1" applyFont="1" applyBorder="1" applyAlignment="1" applyProtection="1">
      <alignment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5" fillId="0" borderId="7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13" fillId="0" borderId="30" xfId="0" applyNumberFormat="1" applyFont="1" applyBorder="1" applyAlignment="1" applyProtection="1">
      <alignment horizontal="right" vertical="center"/>
      <protection locked="0"/>
    </xf>
    <xf numFmtId="0" fontId="17" fillId="0" borderId="3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14" fillId="0" borderId="4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4" fontId="45" fillId="0" borderId="18" xfId="0" applyNumberFormat="1" applyFont="1" applyBorder="1" applyAlignment="1">
      <alignment vertical="center"/>
    </xf>
    <xf numFmtId="4" fontId="45" fillId="0" borderId="19" xfId="0" applyNumberFormat="1" applyFont="1" applyBorder="1" applyAlignment="1">
      <alignment vertical="center"/>
    </xf>
    <xf numFmtId="49" fontId="45" fillId="0" borderId="10" xfId="0" applyNumberFormat="1" applyFont="1" applyBorder="1" applyAlignment="1" applyProtection="1">
      <alignment vertical="center" wrapText="1"/>
    </xf>
    <xf numFmtId="4" fontId="45" fillId="0" borderId="9" xfId="0" applyNumberFormat="1" applyFont="1" applyBorder="1" applyAlignment="1">
      <alignment vertical="center"/>
    </xf>
    <xf numFmtId="4" fontId="0" fillId="0" borderId="8" xfId="0" applyNumberFormat="1" applyBorder="1"/>
    <xf numFmtId="4" fontId="0" fillId="0" borderId="2" xfId="0" applyNumberFormat="1" applyFont="1" applyFill="1" applyBorder="1" applyAlignment="1">
      <alignment vertical="center" wrapText="1"/>
    </xf>
    <xf numFmtId="4" fontId="0" fillId="0" borderId="5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0" fontId="0" fillId="0" borderId="5" xfId="0" applyFont="1" applyBorder="1"/>
    <xf numFmtId="4" fontId="1" fillId="0" borderId="8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4" fontId="13" fillId="0" borderId="0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4" fontId="13" fillId="0" borderId="25" xfId="0" applyNumberFormat="1" applyFont="1" applyFill="1" applyBorder="1" applyAlignment="1" applyProtection="1">
      <alignment vertical="center" wrapText="1"/>
      <protection locked="0"/>
    </xf>
    <xf numFmtId="4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 applyProtection="1">
      <alignment vertical="center" wrapText="1"/>
    </xf>
    <xf numFmtId="4" fontId="0" fillId="0" borderId="4" xfId="0" applyNumberFormat="1" applyBorder="1" applyAlignment="1" applyProtection="1">
      <alignment horizontal="center" vertical="center" wrapText="1"/>
    </xf>
    <xf numFmtId="4" fontId="0" fillId="0" borderId="7" xfId="0" quotePrefix="1" applyNumberFormat="1" applyBorder="1" applyAlignment="1">
      <alignment horizontal="center" vertical="center"/>
    </xf>
    <xf numFmtId="0" fontId="13" fillId="0" borderId="2" xfId="0" applyFont="1" applyFill="1" applyBorder="1" applyAlignment="1" applyProtection="1">
      <alignment vertical="center" wrapText="1"/>
      <protection locked="0"/>
    </xf>
    <xf numFmtId="4" fontId="0" fillId="0" borderId="25" xfId="0" applyNumberFormat="1" applyBorder="1" applyAlignment="1">
      <alignment vertical="center" wrapText="1"/>
    </xf>
    <xf numFmtId="4" fontId="0" fillId="0" borderId="3" xfId="0" applyNumberFormat="1" applyBorder="1" applyAlignment="1" applyProtection="1">
      <alignment vertical="center" wrapText="1"/>
    </xf>
    <xf numFmtId="0" fontId="25" fillId="8" borderId="1" xfId="0" applyFont="1" applyFill="1" applyBorder="1" applyAlignment="1">
      <alignment vertical="center" wrapText="1"/>
    </xf>
    <xf numFmtId="0" fontId="25" fillId="9" borderId="1" xfId="0" applyFont="1" applyFill="1" applyBorder="1" applyAlignment="1">
      <alignment vertical="center" wrapText="1"/>
    </xf>
    <xf numFmtId="4" fontId="6" fillId="0" borderId="0" xfId="0" applyNumberFormat="1" applyFont="1"/>
    <xf numFmtId="0" fontId="5" fillId="0" borderId="10" xfId="0" applyFont="1" applyFill="1" applyBorder="1" applyAlignment="1" applyProtection="1">
      <alignment vertical="center" wrapText="1"/>
    </xf>
    <xf numFmtId="4" fontId="5" fillId="0" borderId="9" xfId="0" applyNumberFormat="1" applyFont="1" applyBorder="1" applyAlignment="1">
      <alignment vertical="center"/>
    </xf>
    <xf numFmtId="4" fontId="45" fillId="0" borderId="18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8" xfId="0" applyFont="1" applyBorder="1" applyAlignment="1" applyProtection="1">
      <alignment horizontal="center" vertical="center" wrapText="1"/>
      <protection locked="0"/>
    </xf>
    <xf numFmtId="4" fontId="5" fillId="0" borderId="18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49" fontId="0" fillId="0" borderId="32" xfId="0" applyNumberFormat="1" applyBorder="1" applyAlignment="1" applyProtection="1">
      <alignment vertical="center" wrapText="1"/>
    </xf>
    <xf numFmtId="4" fontId="0" fillId="0" borderId="26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49" fontId="0" fillId="0" borderId="22" xfId="0" applyNumberFormat="1" applyBorder="1" applyAlignment="1" applyProtection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28" xfId="0" applyNumberFormat="1" applyBorder="1" applyAlignment="1" applyProtection="1">
      <alignment vertical="center" wrapText="1"/>
    </xf>
    <xf numFmtId="0" fontId="0" fillId="0" borderId="33" xfId="0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7" fillId="0" borderId="22" xfId="0" applyNumberFormat="1" applyFont="1" applyFill="1" applyBorder="1" applyAlignment="1">
      <alignment vertical="center" wrapText="1"/>
    </xf>
    <xf numFmtId="3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Fill="1" applyBorder="1" applyAlignment="1" applyProtection="1">
      <alignment horizontal="center" vertical="center" wrapText="1"/>
    </xf>
    <xf numFmtId="4" fontId="45" fillId="0" borderId="7" xfId="0" applyNumberFormat="1" applyFont="1" applyFill="1" applyBorder="1" applyAlignment="1">
      <alignment vertical="center" wrapText="1"/>
    </xf>
    <xf numFmtId="4" fontId="48" fillId="0" borderId="33" xfId="0" applyNumberFormat="1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vertical="center" wrapText="1"/>
    </xf>
    <xf numFmtId="1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 wrapText="1"/>
      <protection locked="0"/>
    </xf>
    <xf numFmtId="4" fontId="14" fillId="0" borderId="0" xfId="0" applyNumberFormat="1" applyFont="1" applyFill="1" applyBorder="1" applyAlignment="1" applyProtection="1">
      <alignment vertical="center" wrapText="1"/>
      <protection locked="0"/>
    </xf>
    <xf numFmtId="4" fontId="45" fillId="0" borderId="0" xfId="0" applyNumberFormat="1" applyFont="1" applyFill="1" applyBorder="1" applyAlignment="1">
      <alignment vertical="center" wrapText="1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4" fillId="0" borderId="29" xfId="0" applyFont="1" applyFill="1" applyBorder="1" applyAlignment="1">
      <alignment vertical="center" wrapText="1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3" fillId="0" borderId="34" xfId="0" applyFont="1" applyFill="1" applyBorder="1" applyAlignment="1" applyProtection="1">
      <alignment vertical="center" wrapText="1"/>
      <protection locked="0"/>
    </xf>
    <xf numFmtId="0" fontId="14" fillId="0" borderId="30" xfId="0" applyFont="1" applyFill="1" applyBorder="1" applyAlignment="1" applyProtection="1">
      <alignment vertical="center" wrapText="1"/>
      <protection locked="0"/>
    </xf>
    <xf numFmtId="0" fontId="0" fillId="0" borderId="22" xfId="0" applyFill="1" applyBorder="1" applyAlignment="1">
      <alignment vertical="center" wrapText="1"/>
    </xf>
    <xf numFmtId="0" fontId="45" fillId="0" borderId="33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 applyProtection="1">
      <alignment vertical="center" wrapText="1"/>
      <protection locked="0"/>
    </xf>
    <xf numFmtId="4" fontId="13" fillId="0" borderId="36" xfId="0" applyNumberFormat="1" applyFont="1" applyFill="1" applyBorder="1" applyAlignment="1" applyProtection="1">
      <alignment vertical="center" wrapText="1"/>
      <protection locked="0"/>
    </xf>
    <xf numFmtId="4" fontId="45" fillId="0" borderId="21" xfId="0" applyNumberFormat="1" applyFon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  <xf numFmtId="4" fontId="45" fillId="0" borderId="5" xfId="0" applyNumberFormat="1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4" fontId="17" fillId="0" borderId="29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vertical="center" wrapText="1"/>
    </xf>
    <xf numFmtId="4" fontId="5" fillId="0" borderId="30" xfId="0" applyNumberFormat="1" applyFont="1" applyFill="1" applyBorder="1" applyAlignment="1">
      <alignment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>
      <alignment vertical="center" wrapText="1"/>
    </xf>
    <xf numFmtId="4" fontId="0" fillId="0" borderId="12" xfId="0" applyNumberFormat="1" applyBorder="1"/>
    <xf numFmtId="4" fontId="45" fillId="0" borderId="30" xfId="0" applyNumberFormat="1" applyFont="1" applyFill="1" applyBorder="1" applyAlignment="1">
      <alignment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10" borderId="1" xfId="0" applyFont="1" applyFill="1" applyBorder="1" applyAlignment="1" applyProtection="1">
      <alignment horizontal="center" vertical="center"/>
    </xf>
    <xf numFmtId="4" fontId="0" fillId="0" borderId="35" xfId="0" applyNumberFormat="1" applyBorder="1"/>
    <xf numFmtId="4" fontId="0" fillId="0" borderId="11" xfId="0" applyNumberFormat="1" applyBorder="1"/>
    <xf numFmtId="4" fontId="45" fillId="0" borderId="31" xfId="0" applyNumberFormat="1" applyFont="1" applyBorder="1" applyAlignment="1">
      <alignment vertical="center"/>
    </xf>
    <xf numFmtId="4" fontId="0" fillId="0" borderId="3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1" xfId="0" applyNumberFormat="1" applyBorder="1" applyAlignment="1">
      <alignment horizontal="center" vertical="center"/>
    </xf>
    <xf numFmtId="4" fontId="0" fillId="0" borderId="37" xfId="0" applyNumberFormat="1" applyBorder="1" applyAlignment="1">
      <alignment vertical="center"/>
    </xf>
    <xf numFmtId="4" fontId="0" fillId="0" borderId="35" xfId="0" applyNumberFormat="1" applyBorder="1" applyAlignment="1" applyProtection="1">
      <alignment vertical="center" wrapText="1"/>
    </xf>
    <xf numFmtId="4" fontId="5" fillId="0" borderId="31" xfId="0" applyNumberFormat="1" applyFont="1" applyFill="1" applyBorder="1" applyAlignment="1">
      <alignment vertical="center"/>
    </xf>
    <xf numFmtId="0" fontId="0" fillId="0" borderId="1" xfId="0" quotePrefix="1" applyBorder="1" applyAlignment="1">
      <alignment horizontal="center" vertical="center" wrapText="1"/>
    </xf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45" fillId="0" borderId="41" xfId="0" applyNumberFormat="1" applyFont="1" applyBorder="1" applyAlignment="1">
      <alignment vertical="center"/>
    </xf>
    <xf numFmtId="4" fontId="0" fillId="0" borderId="38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5" fillId="0" borderId="41" xfId="0" applyNumberFormat="1" applyFont="1" applyBorder="1" applyAlignment="1">
      <alignment vertical="center"/>
    </xf>
    <xf numFmtId="4" fontId="0" fillId="0" borderId="6" xfId="0" quotePrefix="1" applyNumberFormat="1" applyBorder="1" applyAlignment="1">
      <alignment horizontal="right" vertical="center" wrapText="1"/>
    </xf>
    <xf numFmtId="4" fontId="0" fillId="0" borderId="6" xfId="0" quotePrefix="1" applyNumberFormat="1" applyBorder="1" applyAlignment="1">
      <alignment horizontal="center" vertical="center"/>
    </xf>
    <xf numFmtId="2" fontId="0" fillId="0" borderId="5" xfId="0" quotePrefix="1" applyNumberFormat="1" applyBorder="1" applyAlignment="1">
      <alignment horizontal="right" vertical="center" wrapText="1"/>
    </xf>
    <xf numFmtId="2" fontId="0" fillId="0" borderId="7" xfId="0" quotePrefix="1" applyNumberFormat="1" applyBorder="1" applyAlignment="1">
      <alignment horizontal="right" vertical="center" wrapText="1"/>
    </xf>
    <xf numFmtId="4" fontId="0" fillId="0" borderId="7" xfId="0" quotePrefix="1" applyNumberFormat="1" applyBorder="1" applyAlignment="1">
      <alignment horizontal="right" vertical="center" wrapText="1"/>
    </xf>
    <xf numFmtId="4" fontId="0" fillId="0" borderId="8" xfId="0" quotePrefix="1" applyNumberFormat="1" applyBorder="1" applyAlignment="1">
      <alignment horizontal="right" vertical="center" wrapText="1"/>
    </xf>
    <xf numFmtId="4" fontId="0" fillId="0" borderId="8" xfId="0" quotePrefix="1" applyNumberFormat="1" applyBorder="1" applyAlignment="1">
      <alignment horizontal="center" vertical="center"/>
    </xf>
    <xf numFmtId="4" fontId="0" fillId="0" borderId="44" xfId="0" applyNumberFormat="1" applyBorder="1" applyAlignment="1" applyProtection="1">
      <alignment vertical="center" wrapText="1"/>
    </xf>
    <xf numFmtId="4" fontId="0" fillId="0" borderId="45" xfId="0" applyNumberFormat="1" applyBorder="1" applyAlignment="1" applyProtection="1">
      <alignment vertical="center" wrapText="1"/>
    </xf>
    <xf numFmtId="4" fontId="0" fillId="0" borderId="45" xfId="0" applyNumberFormat="1" applyBorder="1" applyAlignment="1" applyProtection="1">
      <alignment horizontal="center" vertical="center" wrapText="1"/>
    </xf>
    <xf numFmtId="4" fontId="0" fillId="0" borderId="46" xfId="0" applyNumberFormat="1" applyBorder="1" applyAlignment="1" applyProtection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24" xfId="0" applyNumberFormat="1" applyBorder="1" applyAlignment="1" applyProtection="1">
      <alignment horizontal="center" vertical="center" wrapText="1"/>
    </xf>
    <xf numFmtId="4" fontId="0" fillId="0" borderId="25" xfId="0" applyNumberFormat="1" applyBorder="1" applyAlignment="1" applyProtection="1">
      <alignment horizontal="center" vertical="center" wrapText="1"/>
    </xf>
    <xf numFmtId="4" fontId="0" fillId="0" borderId="27" xfId="0" applyNumberFormat="1" applyBorder="1" applyAlignment="1" applyProtection="1">
      <alignment horizontal="center" vertical="center" wrapText="1"/>
    </xf>
    <xf numFmtId="0" fontId="0" fillId="0" borderId="44" xfId="0" quotePrefix="1" applyBorder="1" applyAlignment="1">
      <alignment horizontal="center" vertical="center" wrapText="1"/>
    </xf>
    <xf numFmtId="0" fontId="0" fillId="0" borderId="45" xfId="0" quotePrefix="1" applyBorder="1" applyAlignment="1">
      <alignment horizontal="center" vertical="center" wrapText="1"/>
    </xf>
    <xf numFmtId="4" fontId="0" fillId="0" borderId="45" xfId="0" quotePrefix="1" applyNumberFormat="1" applyBorder="1" applyAlignment="1">
      <alignment horizontal="right" vertical="center" wrapText="1"/>
    </xf>
    <xf numFmtId="4" fontId="0" fillId="0" borderId="46" xfId="0" quotePrefix="1" applyNumberFormat="1" applyBorder="1" applyAlignment="1">
      <alignment horizontal="righ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3" fillId="0" borderId="0" xfId="1" applyFont="1" applyAlignment="1" applyProtection="1"/>
    <xf numFmtId="0" fontId="25" fillId="8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9" borderId="0" xfId="0" applyFill="1"/>
    <xf numFmtId="4" fontId="13" fillId="0" borderId="1" xfId="0" applyNumberFormat="1" applyFont="1" applyBorder="1" applyAlignment="1" applyProtection="1">
      <alignment horizontal="right" vertical="center"/>
      <protection locked="0"/>
    </xf>
    <xf numFmtId="4" fontId="13" fillId="0" borderId="2" xfId="0" applyNumberFormat="1" applyFont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vertical="center"/>
    </xf>
    <xf numFmtId="4" fontId="5" fillId="0" borderId="21" xfId="0" applyNumberFormat="1" applyFont="1" applyBorder="1" applyAlignment="1" applyProtection="1">
      <alignment vertical="center"/>
    </xf>
    <xf numFmtId="4" fontId="5" fillId="0" borderId="5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center"/>
    </xf>
    <xf numFmtId="4" fontId="0" fillId="0" borderId="36" xfId="0" applyNumberFormat="1" applyBorder="1" applyAlignment="1" applyProtection="1">
      <alignment horizontal="center" vertical="center" wrapText="1"/>
    </xf>
    <xf numFmtId="4" fontId="0" fillId="0" borderId="4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" fontId="0" fillId="0" borderId="18" xfId="0" quotePrefix="1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19" xfId="0" quotePrefix="1" applyNumberFormat="1" applyBorder="1" applyAlignment="1">
      <alignment horizontal="center" vertical="center"/>
    </xf>
    <xf numFmtId="4" fontId="0" fillId="0" borderId="41" xfId="0" applyNumberFormat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44" xfId="0" applyFont="1" applyBorder="1" applyAlignment="1" applyProtection="1">
      <alignment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53" xfId="0" applyFont="1" applyBorder="1" applyAlignment="1">
      <alignment horizontal="center" vertical="center" wrapText="1"/>
    </xf>
    <xf numFmtId="0" fontId="5" fillId="0" borderId="66" xfId="0" applyFont="1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28" xfId="0" applyNumberFormat="1" applyBorder="1" applyAlignment="1" applyProtection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5" xfId="0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1" fillId="0" borderId="0" xfId="1" applyFill="1" applyBorder="1" applyAlignment="1" applyProtection="1">
      <alignment vertical="center"/>
    </xf>
    <xf numFmtId="0" fontId="31" fillId="0" borderId="0" xfId="1" applyAlignment="1" applyProtection="1"/>
    <xf numFmtId="0" fontId="5" fillId="0" borderId="2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0" fontId="0" fillId="0" borderId="64" xfId="0" applyBorder="1" applyAlignment="1">
      <alignment wrapText="1"/>
    </xf>
    <xf numFmtId="0" fontId="0" fillId="0" borderId="48" xfId="0" applyBorder="1" applyAlignment="1">
      <alignment wrapText="1"/>
    </xf>
    <xf numFmtId="4" fontId="0" fillId="0" borderId="23" xfId="0" applyNumberFormat="1" applyBorder="1" applyAlignment="1">
      <alignment vertical="center"/>
    </xf>
    <xf numFmtId="0" fontId="0" fillId="0" borderId="65" xfId="0" applyBorder="1" applyAlignment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14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18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wrapText="1"/>
    </xf>
    <xf numFmtId="0" fontId="5" fillId="0" borderId="58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0" fillId="0" borderId="62" xfId="0" applyBorder="1" applyAlignment="1">
      <alignment wrapText="1"/>
    </xf>
    <xf numFmtId="0" fontId="0" fillId="0" borderId="41" xfId="0" applyBorder="1" applyAlignment="1">
      <alignment wrapText="1"/>
    </xf>
    <xf numFmtId="0" fontId="14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6" xfId="0" applyNumberFormat="1" applyBorder="1" applyAlignment="1" applyProtection="1">
      <alignment wrapText="1"/>
      <protection locked="0"/>
    </xf>
    <xf numFmtId="0" fontId="29" fillId="0" borderId="57" xfId="0" applyFont="1" applyFill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0" fontId="5" fillId="0" borderId="64" xfId="0" applyFont="1" applyFill="1" applyBorder="1" applyAlignment="1" applyProtection="1">
      <alignment vertical="center" wrapText="1"/>
    </xf>
    <xf numFmtId="0" fontId="0" fillId="0" borderId="64" xfId="0" applyBorder="1" applyAlignment="1">
      <alignment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0" fillId="0" borderId="64" xfId="0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">
    <cellStyle name="Collegamento ipertestuale" xfId="1" builtinId="8"/>
    <cellStyle name="Normal" xfId="2" xr:uid="{00000000-0005-0000-0000-000001000000}"/>
    <cellStyle name="Normale" xfId="0" builtinId="0"/>
    <cellStyle name="Normale 2" xfId="3" xr:uid="{00000000-0005-0000-0000-000003000000}"/>
    <cellStyle name="Normale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bulazioni" connectionId="1" xr16:uid="{00000000-0016-0000-04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bulazioni" connectionId="2" xr16:uid="{00000000-0016-0000-07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N195"/>
  <sheetViews>
    <sheetView tabSelected="1" zoomScale="90" zoomScaleNormal="90" workbookViewId="0">
      <selection activeCell="E9" sqref="E9:J9"/>
    </sheetView>
  </sheetViews>
  <sheetFormatPr defaultRowHeight="15" x14ac:dyDescent="0.25"/>
  <cols>
    <col min="1" max="1" width="19.7109375" customWidth="1"/>
    <col min="2" max="3" width="16.7109375" customWidth="1"/>
    <col min="4" max="4" width="14.5703125" customWidth="1"/>
    <col min="5" max="5" width="17.85546875" customWidth="1"/>
    <col min="6" max="6" width="16.85546875" customWidth="1"/>
    <col min="7" max="7" width="13.28515625" customWidth="1"/>
    <col min="8" max="8" width="11.5703125" customWidth="1"/>
    <col min="9" max="9" width="18.28515625" customWidth="1"/>
    <col min="10" max="10" width="16.85546875" customWidth="1"/>
    <col min="11" max="11" width="13.140625" customWidth="1"/>
    <col min="12" max="12" width="11.5703125" customWidth="1"/>
    <col min="13" max="13" width="12.42578125" customWidth="1"/>
  </cols>
  <sheetData>
    <row r="1" spans="1:12" ht="46.5" customHeight="1" x14ac:dyDescent="0.25">
      <c r="A1" s="523" t="s">
        <v>395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2"/>
    </row>
    <row r="2" spans="1:12" ht="9.7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ht="44.25" customHeight="1" x14ac:dyDescent="0.25">
      <c r="A3" s="520" t="s">
        <v>409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2"/>
    </row>
    <row r="4" spans="1:12" ht="17.25" customHeight="1" x14ac:dyDescent="0.25">
      <c r="A4" s="520" t="s">
        <v>222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2"/>
    </row>
    <row r="5" spans="1:12" ht="17.25" customHeight="1" x14ac:dyDescent="0.25">
      <c r="A5" s="520" t="s">
        <v>219</v>
      </c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2"/>
    </row>
    <row r="6" spans="1:12" ht="103.5" customHeight="1" x14ac:dyDescent="0.25">
      <c r="A6" s="520" t="s">
        <v>455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2"/>
    </row>
    <row r="7" spans="1:12" x14ac:dyDescent="0.25">
      <c r="A7" s="520"/>
      <c r="B7" s="521"/>
      <c r="C7" s="521"/>
      <c r="D7" s="521"/>
      <c r="E7" s="521"/>
      <c r="F7" s="521"/>
      <c r="G7" s="521"/>
      <c r="H7" s="521"/>
      <c r="I7" s="521"/>
      <c r="J7" s="521"/>
      <c r="K7" s="521"/>
    </row>
    <row r="8" spans="1:12" ht="26.25" customHeight="1" thickBot="1" x14ac:dyDescent="0.3">
      <c r="A8" s="518" t="s">
        <v>198</v>
      </c>
      <c r="B8" s="519"/>
      <c r="C8" s="519"/>
      <c r="D8" s="519"/>
      <c r="E8" s="519"/>
      <c r="F8" s="519"/>
      <c r="G8" s="519"/>
      <c r="H8" s="519"/>
      <c r="I8" s="519"/>
      <c r="J8" s="519"/>
      <c r="K8" s="519"/>
    </row>
    <row r="9" spans="1:12" ht="26.25" customHeight="1" x14ac:dyDescent="0.25">
      <c r="A9" s="546" t="s">
        <v>223</v>
      </c>
      <c r="B9" s="547"/>
      <c r="C9" s="547"/>
      <c r="D9" s="548"/>
      <c r="E9" s="549"/>
      <c r="F9" s="550"/>
      <c r="G9" s="550"/>
      <c r="H9" s="550"/>
      <c r="I9" s="550"/>
      <c r="J9" s="551"/>
    </row>
    <row r="10" spans="1:12" ht="22.5" customHeight="1" x14ac:dyDescent="0.25">
      <c r="A10" s="534" t="s">
        <v>220</v>
      </c>
      <c r="B10" s="535"/>
      <c r="C10" s="535"/>
      <c r="D10" s="532"/>
      <c r="E10" s="536"/>
      <c r="F10" s="537"/>
      <c r="G10" s="537"/>
      <c r="H10" s="537"/>
      <c r="I10" s="537"/>
      <c r="J10" s="538"/>
    </row>
    <row r="11" spans="1:12" ht="22.5" customHeight="1" x14ac:dyDescent="0.25">
      <c r="A11" s="534" t="s">
        <v>221</v>
      </c>
      <c r="B11" s="535"/>
      <c r="C11" s="535"/>
      <c r="D11" s="532"/>
      <c r="E11" s="555"/>
      <c r="F11" s="556"/>
      <c r="G11" s="556"/>
      <c r="H11" s="556"/>
      <c r="I11" s="556"/>
      <c r="J11" s="557"/>
    </row>
    <row r="12" spans="1:12" ht="81.75" customHeight="1" x14ac:dyDescent="0.25">
      <c r="A12" s="534" t="s">
        <v>224</v>
      </c>
      <c r="B12" s="535"/>
      <c r="C12" s="535"/>
      <c r="D12" s="532"/>
      <c r="E12" s="536"/>
      <c r="F12" s="537"/>
      <c r="G12" s="537"/>
      <c r="H12" s="537"/>
      <c r="I12" s="537"/>
      <c r="J12" s="538"/>
    </row>
    <row r="13" spans="1:12" ht="31.9" customHeight="1" x14ac:dyDescent="0.25">
      <c r="A13" s="534" t="s">
        <v>449</v>
      </c>
      <c r="B13" s="531"/>
      <c r="C13" s="531"/>
      <c r="D13" s="531"/>
      <c r="E13" s="531"/>
      <c r="F13" s="532"/>
      <c r="G13" s="532"/>
      <c r="H13" s="532"/>
      <c r="I13" s="528"/>
      <c r="J13" s="529"/>
    </row>
    <row r="14" spans="1:12" ht="31.9" customHeight="1" x14ac:dyDescent="0.25">
      <c r="A14" s="530" t="s">
        <v>288</v>
      </c>
      <c r="B14" s="531"/>
      <c r="C14" s="531"/>
      <c r="D14" s="531"/>
      <c r="E14" s="531"/>
      <c r="F14" s="532"/>
      <c r="G14" s="532"/>
      <c r="H14" s="532"/>
      <c r="I14" s="536"/>
      <c r="J14" s="538"/>
    </row>
    <row r="15" spans="1:12" ht="41.45" customHeight="1" x14ac:dyDescent="0.25">
      <c r="A15" s="552" t="s">
        <v>209</v>
      </c>
      <c r="B15" s="553"/>
      <c r="C15" s="553"/>
      <c r="D15" s="553"/>
      <c r="E15" s="553"/>
      <c r="F15" s="554"/>
      <c r="G15" s="554"/>
      <c r="H15" s="554"/>
      <c r="I15" s="539" t="str">
        <f>IF(I14="SI",IF(B62*1000&lt;=3000,"Peso vivo inserito non superiore a 3000 kg","Verificare il peso allevato! Il peso vivo inserito è superiore a 3000 kg!"),"Azienda con allevamento NON SITUATO in comuni classificati di montagna")</f>
        <v>Azienda con allevamento NON SITUATO in comuni classificati di montagna</v>
      </c>
      <c r="J15" s="540"/>
    </row>
    <row r="16" spans="1:12" ht="30.75" customHeight="1" thickBot="1" x14ac:dyDescent="0.3">
      <c r="A16" s="533" t="s">
        <v>422</v>
      </c>
      <c r="B16" s="526"/>
      <c r="C16" s="526"/>
      <c r="D16" s="527"/>
      <c r="E16" s="341"/>
      <c r="F16" s="525" t="s">
        <v>423</v>
      </c>
      <c r="G16" s="526"/>
      <c r="H16" s="526"/>
      <c r="I16" s="527"/>
      <c r="J16" s="342"/>
    </row>
    <row r="17" spans="1:10" x14ac:dyDescent="0.25">
      <c r="A17" s="20"/>
      <c r="B17" s="20"/>
      <c r="C17" s="20"/>
      <c r="D17" s="20"/>
      <c r="E17" s="20"/>
      <c r="F17" s="21"/>
      <c r="G17" s="22"/>
    </row>
    <row r="18" spans="1:10" x14ac:dyDescent="0.25">
      <c r="A18" s="505" t="s">
        <v>207</v>
      </c>
      <c r="B18" s="506"/>
      <c r="C18" s="506"/>
      <c r="D18" s="506"/>
      <c r="E18" s="506"/>
      <c r="F18" s="506"/>
      <c r="G18" s="506"/>
    </row>
    <row r="19" spans="1:10" x14ac:dyDescent="0.25">
      <c r="A19" s="505" t="s">
        <v>338</v>
      </c>
      <c r="B19" s="506"/>
      <c r="C19" s="506"/>
      <c r="D19" s="506"/>
      <c r="E19" s="506"/>
      <c r="F19" s="506"/>
      <c r="G19" s="506"/>
    </row>
    <row r="20" spans="1:10" x14ac:dyDescent="0.25">
      <c r="A20" s="505" t="s">
        <v>205</v>
      </c>
      <c r="B20" s="506"/>
      <c r="C20" s="506"/>
      <c r="D20" s="506"/>
      <c r="E20" s="506"/>
      <c r="F20" s="506"/>
      <c r="G20" s="506"/>
    </row>
    <row r="21" spans="1:10" x14ac:dyDescent="0.25">
      <c r="A21" s="505" t="s">
        <v>462</v>
      </c>
      <c r="B21" s="506"/>
      <c r="C21" s="506"/>
      <c r="D21" s="506"/>
      <c r="E21" s="506"/>
      <c r="F21" s="506"/>
      <c r="G21" s="506"/>
    </row>
    <row r="22" spans="1:10" x14ac:dyDescent="0.25">
      <c r="A22" s="505" t="s">
        <v>206</v>
      </c>
      <c r="B22" s="506"/>
      <c r="C22" s="506"/>
      <c r="D22" s="506"/>
      <c r="E22" s="506"/>
      <c r="F22" s="506"/>
      <c r="G22" s="506"/>
    </row>
    <row r="23" spans="1:10" x14ac:dyDescent="0.25">
      <c r="A23" s="505" t="s">
        <v>355</v>
      </c>
      <c r="B23" s="506"/>
      <c r="C23" s="506"/>
      <c r="D23" s="506"/>
      <c r="E23" s="506"/>
      <c r="F23" s="506"/>
      <c r="G23" s="506"/>
      <c r="I23" s="346"/>
      <c r="J23" s="346"/>
    </row>
    <row r="24" spans="1:10" x14ac:dyDescent="0.25">
      <c r="A24" s="505" t="s">
        <v>402</v>
      </c>
      <c r="B24" s="506"/>
      <c r="C24" s="506"/>
      <c r="D24" s="506"/>
      <c r="E24" s="506"/>
      <c r="F24" s="506"/>
      <c r="G24" s="506"/>
    </row>
    <row r="25" spans="1:10" x14ac:dyDescent="0.25">
      <c r="A25" s="505" t="s">
        <v>403</v>
      </c>
      <c r="B25" s="506"/>
      <c r="C25" s="506"/>
      <c r="D25" s="506"/>
      <c r="E25" s="506"/>
      <c r="F25" s="506"/>
      <c r="G25" s="506"/>
    </row>
    <row r="26" spans="1:10" x14ac:dyDescent="0.25">
      <c r="A26" s="505" t="s">
        <v>394</v>
      </c>
      <c r="B26" s="506"/>
      <c r="C26" s="506"/>
      <c r="D26" s="506"/>
      <c r="E26" s="506"/>
      <c r="F26" s="506"/>
      <c r="G26" s="506"/>
    </row>
    <row r="27" spans="1:10" x14ac:dyDescent="0.25">
      <c r="A27" s="320"/>
      <c r="B27" s="20"/>
      <c r="C27" s="20"/>
      <c r="D27" s="20"/>
      <c r="E27" s="20"/>
      <c r="F27" s="21"/>
      <c r="G27" s="22"/>
    </row>
    <row r="28" spans="1:10" ht="15.75" thickBot="1" x14ac:dyDescent="0.3">
      <c r="A28" s="31" t="s">
        <v>207</v>
      </c>
      <c r="B28" s="20"/>
      <c r="C28" s="20"/>
      <c r="D28" s="20"/>
      <c r="E28" s="20"/>
      <c r="F28" s="21"/>
      <c r="G28" s="22"/>
    </row>
    <row r="29" spans="1:10" x14ac:dyDescent="0.25">
      <c r="A29" s="486" t="s">
        <v>208</v>
      </c>
      <c r="B29" s="487"/>
      <c r="C29" s="102"/>
    </row>
    <row r="30" spans="1:10" x14ac:dyDescent="0.25">
      <c r="A30" s="314" t="s">
        <v>191</v>
      </c>
      <c r="B30" s="56">
        <f>Stoccaggi!G24</f>
        <v>0</v>
      </c>
      <c r="C30" s="103"/>
    </row>
    <row r="31" spans="1:10" ht="15.75" thickBot="1" x14ac:dyDescent="0.3">
      <c r="A31" s="315" t="s">
        <v>192</v>
      </c>
      <c r="B31" s="313">
        <f>Stoccaggi!F44</f>
        <v>0</v>
      </c>
      <c r="C31" s="103"/>
    </row>
    <row r="32" spans="1:10" x14ac:dyDescent="0.25">
      <c r="A32" s="560" t="s">
        <v>276</v>
      </c>
      <c r="B32" s="561"/>
      <c r="C32" s="104"/>
    </row>
    <row r="33" spans="1:14" x14ac:dyDescent="0.25">
      <c r="A33" s="316" t="s">
        <v>400</v>
      </c>
      <c r="B33" s="317">
        <f>E72+D86+E86+H86</f>
        <v>0</v>
      </c>
      <c r="C33" s="104"/>
    </row>
    <row r="34" spans="1:14" ht="18.75" customHeight="1" thickBot="1" x14ac:dyDescent="0.3">
      <c r="A34" s="318" t="s">
        <v>401</v>
      </c>
      <c r="B34" s="319">
        <f>M190</f>
        <v>0</v>
      </c>
      <c r="C34" s="104"/>
    </row>
    <row r="35" spans="1:14" x14ac:dyDescent="0.25">
      <c r="A35" s="457" t="s">
        <v>450</v>
      </c>
      <c r="B35" s="27"/>
      <c r="C35" s="27"/>
    </row>
    <row r="36" spans="1:14" x14ac:dyDescent="0.25">
      <c r="A36" s="457"/>
      <c r="B36" s="27"/>
      <c r="C36" s="27"/>
    </row>
    <row r="37" spans="1:14" ht="15.75" customHeight="1" thickBot="1" x14ac:dyDescent="0.3">
      <c r="A37" s="481" t="s">
        <v>338</v>
      </c>
      <c r="B37" s="482"/>
      <c r="C37" s="482"/>
      <c r="D37" s="482"/>
      <c r="E37" s="482"/>
      <c r="F37" s="482"/>
      <c r="G37" s="482"/>
      <c r="H37" s="482"/>
      <c r="I37" s="483"/>
      <c r="J37" s="484"/>
    </row>
    <row r="38" spans="1:14" ht="34.5" customHeight="1" x14ac:dyDescent="0.25">
      <c r="A38" s="511" t="s">
        <v>199</v>
      </c>
      <c r="B38" s="488" t="s">
        <v>200</v>
      </c>
      <c r="C38" s="488" t="s">
        <v>342</v>
      </c>
      <c r="D38" s="509" t="s">
        <v>343</v>
      </c>
      <c r="E38" s="488" t="s">
        <v>204</v>
      </c>
      <c r="F38" s="509" t="s">
        <v>344</v>
      </c>
      <c r="G38" s="502" t="s">
        <v>340</v>
      </c>
      <c r="H38" s="503"/>
      <c r="I38" s="558" t="s">
        <v>172</v>
      </c>
      <c r="N38" s="340"/>
    </row>
    <row r="39" spans="1:14" ht="16.5" customHeight="1" thickBot="1" x14ac:dyDescent="0.3">
      <c r="A39" s="512"/>
      <c r="B39" s="489"/>
      <c r="C39" s="489"/>
      <c r="D39" s="489"/>
      <c r="E39" s="489"/>
      <c r="F39" s="510"/>
      <c r="G39" s="239" t="s">
        <v>341</v>
      </c>
      <c r="H39" s="357" t="s">
        <v>339</v>
      </c>
      <c r="I39" s="559"/>
      <c r="J39" s="355"/>
      <c r="K39" s="381"/>
      <c r="L39" s="355"/>
      <c r="M39" s="355"/>
      <c r="N39" s="340"/>
    </row>
    <row r="40" spans="1:14" x14ac:dyDescent="0.25">
      <c r="A40" s="32" t="s">
        <v>191</v>
      </c>
      <c r="B40" s="55">
        <f>G172+G173+G174+G175+G176+G177+G178+G179+G180+G181</f>
        <v>0</v>
      </c>
      <c r="C40" s="23" t="s">
        <v>203</v>
      </c>
      <c r="D40" s="25" t="s">
        <v>203</v>
      </c>
      <c r="E40" s="23" t="s">
        <v>203</v>
      </c>
      <c r="F40" s="25" t="s">
        <v>203</v>
      </c>
      <c r="G40" s="25" t="s">
        <v>203</v>
      </c>
      <c r="H40" s="25" t="s">
        <v>203</v>
      </c>
      <c r="I40" s="382" t="s">
        <v>203</v>
      </c>
      <c r="J40" s="583" t="s">
        <v>420</v>
      </c>
      <c r="K40" s="586" t="s">
        <v>430</v>
      </c>
      <c r="L40" s="564" t="s">
        <v>433</v>
      </c>
      <c r="M40" s="565"/>
      <c r="N40" s="340"/>
    </row>
    <row r="41" spans="1:14" x14ac:dyDescent="0.25">
      <c r="A41" s="32" t="s">
        <v>171</v>
      </c>
      <c r="B41" s="55">
        <f>G170+G171</f>
        <v>0</v>
      </c>
      <c r="C41" s="24" t="s">
        <v>203</v>
      </c>
      <c r="D41" s="26" t="s">
        <v>203</v>
      </c>
      <c r="E41" s="24" t="s">
        <v>203</v>
      </c>
      <c r="F41" s="26" t="s">
        <v>203</v>
      </c>
      <c r="G41" s="26" t="s">
        <v>203</v>
      </c>
      <c r="H41" s="26" t="s">
        <v>203</v>
      </c>
      <c r="I41" s="382" t="s">
        <v>203</v>
      </c>
      <c r="J41" s="584"/>
      <c r="K41" s="587"/>
      <c r="L41" s="566"/>
      <c r="M41" s="567"/>
      <c r="N41" s="340"/>
    </row>
    <row r="42" spans="1:14" x14ac:dyDescent="0.25">
      <c r="A42" s="32" t="s">
        <v>431</v>
      </c>
      <c r="B42" s="179">
        <f>G186</f>
        <v>0</v>
      </c>
      <c r="C42" s="23" t="s">
        <v>203</v>
      </c>
      <c r="D42" s="25" t="s">
        <v>203</v>
      </c>
      <c r="E42" s="23" t="s">
        <v>203</v>
      </c>
      <c r="F42" s="25" t="s">
        <v>203</v>
      </c>
      <c r="G42" s="25" t="s">
        <v>203</v>
      </c>
      <c r="H42" s="25" t="s">
        <v>203</v>
      </c>
      <c r="I42" s="382" t="s">
        <v>203</v>
      </c>
      <c r="J42" s="584"/>
      <c r="K42" s="587"/>
      <c r="L42" s="566"/>
      <c r="M42" s="567"/>
      <c r="N42" s="340"/>
    </row>
    <row r="43" spans="1:14" ht="26.25" x14ac:dyDescent="0.25">
      <c r="A43" s="32" t="s">
        <v>432</v>
      </c>
      <c r="B43" s="179">
        <f>G183</f>
        <v>0</v>
      </c>
      <c r="C43" s="23" t="s">
        <v>203</v>
      </c>
      <c r="D43" s="25" t="s">
        <v>203</v>
      </c>
      <c r="E43" s="23" t="s">
        <v>203</v>
      </c>
      <c r="F43" s="25" t="s">
        <v>203</v>
      </c>
      <c r="G43" s="25" t="s">
        <v>203</v>
      </c>
      <c r="H43" s="25" t="s">
        <v>203</v>
      </c>
      <c r="I43" s="382" t="s">
        <v>203</v>
      </c>
      <c r="J43" s="585"/>
      <c r="K43" s="588"/>
      <c r="L43" s="568"/>
      <c r="M43" s="569"/>
      <c r="N43" s="340"/>
    </row>
    <row r="44" spans="1:14" ht="29.1" customHeight="1" x14ac:dyDescent="0.25">
      <c r="A44" s="36" t="s">
        <v>202</v>
      </c>
      <c r="B44" s="179">
        <f>SUM(B40:B43)</f>
        <v>0</v>
      </c>
      <c r="C44" s="179">
        <f>B44/365*K62</f>
        <v>0</v>
      </c>
      <c r="D44" s="53" t="str">
        <f>IF(C44=0, "N.N.",K62)</f>
        <v>N.N.</v>
      </c>
      <c r="E44" s="179">
        <f>B30</f>
        <v>0</v>
      </c>
      <c r="F44" s="53" t="str">
        <f>IF(C44=0, "N.N.", (E44/(B44/365)))</f>
        <v>N.N.</v>
      </c>
      <c r="G44" s="240" t="str">
        <f>IF(D44="N.N.","-",IF(E44&lt;C44,C44-E44,0))</f>
        <v>-</v>
      </c>
      <c r="H44" s="240" t="str">
        <f>IF(D44="N.N.","-",IF(F44&lt;D44,D44-F44,0))</f>
        <v>-</v>
      </c>
      <c r="I44" s="383" t="str">
        <f>IF(C44=0, "-", IF(F44&gt;=D44, "AZIENDA CONFORME", "AZIENDA NON CONFORME"))</f>
        <v>-</v>
      </c>
      <c r="J44" s="387" t="str">
        <f>IF(B92&gt;0,"SI","NO")</f>
        <v>NO</v>
      </c>
      <c r="K44" s="385" t="str">
        <f>IF(J44="NO","-",IF(G44=0,"NN",(B44-B92)/365*K62))</f>
        <v>-</v>
      </c>
      <c r="L44" s="572" t="str">
        <f>IF(J44="NO", "-", IF(K44="NN", "-",IF(E44&gt;=K44, "AZIENDA CONFORME", "AZIENDA NON CONFORME")))</f>
        <v>-</v>
      </c>
      <c r="M44" s="573"/>
    </row>
    <row r="45" spans="1:14" ht="42" thickBot="1" x14ac:dyDescent="0.3">
      <c r="A45" s="37" t="s">
        <v>363</v>
      </c>
      <c r="B45" s="180">
        <f>K190+I190</f>
        <v>0</v>
      </c>
      <c r="C45" s="180">
        <f>B45/365*D62</f>
        <v>0</v>
      </c>
      <c r="D45" s="54" t="str">
        <f>IF(C45=0, "N.N.",D62)</f>
        <v>N.N.</v>
      </c>
      <c r="E45" s="180">
        <f>B31</f>
        <v>0</v>
      </c>
      <c r="F45" s="54" t="str">
        <f>IF(C45=0, "N.N.", (E45/(B45/365)))</f>
        <v>N.N.</v>
      </c>
      <c r="G45" s="241" t="str">
        <f>IF(D45="N.N.","-",IF(E45&lt;C45,C45-E45,0))</f>
        <v>-</v>
      </c>
      <c r="H45" s="241" t="str">
        <f>IF(D45="N.N.","-",IF(F45&lt;D45,D45-F45,0))</f>
        <v>-</v>
      </c>
      <c r="I45" s="384" t="str">
        <f>IF(C45=0, "-", IF(F45&gt;=D45, "AZIENDA CONFORME", "AZIENDA NON CONFORME"))</f>
        <v>-</v>
      </c>
      <c r="J45" s="388" t="str">
        <f>IF(C92&gt;0,"SI","NO")</f>
        <v>NO</v>
      </c>
      <c r="K45" s="386" t="str">
        <f>IF(J45="NO","-",IF(G45=0,"NN",(B45-C92)/365*D62))</f>
        <v>-</v>
      </c>
      <c r="L45" s="574" t="str">
        <f>IF(J45="NO", "-", IF(K45="NN", "-",IF(E45&gt;=K45, "AZIENDA CONFORME", "AZIENDA NON CONFORME")))</f>
        <v>-</v>
      </c>
      <c r="M45" s="575"/>
    </row>
    <row r="46" spans="1:14" x14ac:dyDescent="0.25">
      <c r="A46" s="457" t="s">
        <v>450</v>
      </c>
    </row>
    <row r="47" spans="1:14" x14ac:dyDescent="0.25">
      <c r="A47" s="457"/>
    </row>
    <row r="48" spans="1:14" ht="15.75" thickBot="1" x14ac:dyDescent="0.3">
      <c r="A48" s="485" t="s">
        <v>205</v>
      </c>
      <c r="B48" s="485"/>
      <c r="C48" s="485"/>
      <c r="D48" s="485"/>
      <c r="E48" s="485"/>
      <c r="F48" s="485"/>
      <c r="G48" s="485"/>
      <c r="H48" s="485"/>
      <c r="I48" s="485"/>
      <c r="J48" s="485"/>
      <c r="K48" s="483"/>
    </row>
    <row r="49" spans="1:11" ht="30" customHeight="1" x14ac:dyDescent="0.25">
      <c r="A49" s="577" t="s">
        <v>170</v>
      </c>
      <c r="B49" s="490" t="s">
        <v>183</v>
      </c>
      <c r="C49" s="491"/>
      <c r="D49" s="580" t="s">
        <v>189</v>
      </c>
      <c r="E49" s="494" t="s">
        <v>190</v>
      </c>
      <c r="F49" s="495"/>
      <c r="G49" s="495"/>
      <c r="H49" s="495"/>
      <c r="I49" s="496"/>
      <c r="J49" s="492" t="s">
        <v>290</v>
      </c>
      <c r="K49" s="492" t="s">
        <v>315</v>
      </c>
    </row>
    <row r="50" spans="1:11" ht="63" customHeight="1" x14ac:dyDescent="0.25">
      <c r="A50" s="578"/>
      <c r="B50" s="489" t="s">
        <v>184</v>
      </c>
      <c r="C50" s="489" t="s">
        <v>278</v>
      </c>
      <c r="D50" s="581"/>
      <c r="E50" s="497" t="s">
        <v>185</v>
      </c>
      <c r="F50" s="504"/>
      <c r="G50" s="498"/>
      <c r="H50" s="497" t="s">
        <v>289</v>
      </c>
      <c r="I50" s="498"/>
      <c r="J50" s="493"/>
      <c r="K50" s="493"/>
    </row>
    <row r="51" spans="1:11" ht="40.5" customHeight="1" x14ac:dyDescent="0.25">
      <c r="A51" s="579"/>
      <c r="B51" s="501"/>
      <c r="C51" s="501"/>
      <c r="D51" s="582"/>
      <c r="E51" s="17" t="s">
        <v>181</v>
      </c>
      <c r="F51" s="17" t="s">
        <v>182</v>
      </c>
      <c r="G51" s="17" t="s">
        <v>186</v>
      </c>
      <c r="H51" s="17" t="s">
        <v>187</v>
      </c>
      <c r="I51" s="17" t="s">
        <v>188</v>
      </c>
      <c r="J51" s="493"/>
      <c r="K51" s="493"/>
    </row>
    <row r="52" spans="1:11" x14ac:dyDescent="0.25">
      <c r="A52" s="38" t="s">
        <v>176</v>
      </c>
      <c r="B52" s="55">
        <f>Avicoli!V49</f>
        <v>0</v>
      </c>
      <c r="C52" s="55">
        <f>Avicoli!AB49</f>
        <v>0</v>
      </c>
      <c r="D52" s="115">
        <f>IF(B52&gt;0, 90, 0)</f>
        <v>0</v>
      </c>
      <c r="E52" s="14">
        <v>180</v>
      </c>
      <c r="F52" s="14">
        <v>180</v>
      </c>
      <c r="G52" s="14" t="str">
        <f>IF($I$13="SI",IF(B52&gt;0,F52,"    "),IF(B52&gt;0,E52,"   "))</f>
        <v xml:space="preserve">   </v>
      </c>
      <c r="H52" s="18">
        <v>180</v>
      </c>
      <c r="I52" s="19" t="str">
        <f t="shared" ref="I52:I61" si="0">IF($I$14="SI",IF(B52&gt;0,H52,"   "), "    ")</f>
        <v xml:space="preserve">    </v>
      </c>
      <c r="J52" s="39">
        <f>IF($I$14="SI",IF(B52&gt;0,I52,0),IF(B52&gt;0,G52,0))</f>
        <v>0</v>
      </c>
      <c r="K52" s="39">
        <f>IF($I$14="SI",IF(B52&gt;0,I52,0),IF(B52&gt;0,G52,0))</f>
        <v>0</v>
      </c>
    </row>
    <row r="53" spans="1:11" x14ac:dyDescent="0.25">
      <c r="A53" s="38" t="s">
        <v>173</v>
      </c>
      <c r="B53" s="55">
        <f>Bovini_Latte!V92</f>
        <v>0</v>
      </c>
      <c r="C53" s="55">
        <f>Bovini_Latte!AB92</f>
        <v>0</v>
      </c>
      <c r="D53" s="115">
        <f t="shared" ref="D53:D61" si="1">IF(B53&gt;0, 90, 0)</f>
        <v>0</v>
      </c>
      <c r="E53" s="14">
        <v>180</v>
      </c>
      <c r="F53" s="14">
        <v>120</v>
      </c>
      <c r="G53" s="14" t="str">
        <f>IF($I$13="SI",IF(B53&gt;0,F53,"    "),IF(B53&gt;0,E53,"   "))</f>
        <v xml:space="preserve">   </v>
      </c>
      <c r="H53" s="18">
        <v>90</v>
      </c>
      <c r="I53" s="19" t="str">
        <f t="shared" si="0"/>
        <v xml:space="preserve">    </v>
      </c>
      <c r="J53" s="39">
        <f>IF($I$14="SI",IF(B53&gt;0,I53,0),IF(B53&gt;0,G53,0))</f>
        <v>0</v>
      </c>
      <c r="K53" s="39">
        <f>IF($I$14="SI",IF(B53&gt;0,I53,0),IF(B53&gt;0,G53,0))</f>
        <v>0</v>
      </c>
    </row>
    <row r="54" spans="1:11" x14ac:dyDescent="0.25">
      <c r="A54" s="38" t="s">
        <v>174</v>
      </c>
      <c r="B54" s="55">
        <f>Bovini_Carne!U139</f>
        <v>0</v>
      </c>
      <c r="C54" s="55">
        <f>Bovini_Carne!AA139</f>
        <v>0</v>
      </c>
      <c r="D54" s="115">
        <f t="shared" si="1"/>
        <v>0</v>
      </c>
      <c r="E54" s="14">
        <v>180</v>
      </c>
      <c r="F54" s="14">
        <v>180</v>
      </c>
      <c r="G54" s="14" t="str">
        <f t="shared" ref="G54:G61" si="2">IF($I$13="SI",IF(B54&gt;0,F54,"    "),IF(B54&gt;0,E54,"   "))</f>
        <v xml:space="preserve">   </v>
      </c>
      <c r="H54" s="18">
        <v>90</v>
      </c>
      <c r="I54" s="19" t="str">
        <f t="shared" si="0"/>
        <v xml:space="preserve">    </v>
      </c>
      <c r="J54" s="39">
        <f t="shared" ref="J54:J61" si="3">IF($I$14="SI",IF(B54&gt;0,I54,0),IF(B54&gt;0,G54,0))</f>
        <v>0</v>
      </c>
      <c r="K54" s="39">
        <f t="shared" ref="K54:K61" si="4">IF($I$14="SI",IF(B54&gt;0,I54,0),IF(B54&gt;0,G54,0))</f>
        <v>0</v>
      </c>
    </row>
    <row r="55" spans="1:11" x14ac:dyDescent="0.25">
      <c r="A55" s="38" t="s">
        <v>284</v>
      </c>
      <c r="B55" s="55">
        <f>Bufalini_Latte!V93</f>
        <v>0</v>
      </c>
      <c r="C55" s="55">
        <f>Bufalini_Latte!AB93</f>
        <v>0</v>
      </c>
      <c r="D55" s="115">
        <f t="shared" si="1"/>
        <v>0</v>
      </c>
      <c r="E55" s="14">
        <v>180</v>
      </c>
      <c r="F55" s="14">
        <v>120</v>
      </c>
      <c r="G55" s="14" t="str">
        <f t="shared" si="2"/>
        <v xml:space="preserve">   </v>
      </c>
      <c r="H55" s="18">
        <v>90</v>
      </c>
      <c r="I55" s="19" t="str">
        <f t="shared" si="0"/>
        <v xml:space="preserve">    </v>
      </c>
      <c r="J55" s="39">
        <f t="shared" si="3"/>
        <v>0</v>
      </c>
      <c r="K55" s="39">
        <f t="shared" si="4"/>
        <v>0</v>
      </c>
    </row>
    <row r="56" spans="1:11" x14ac:dyDescent="0.25">
      <c r="A56" s="38" t="s">
        <v>285</v>
      </c>
      <c r="B56" s="55">
        <f>Bufalini_Carne!U136</f>
        <v>0</v>
      </c>
      <c r="C56" s="55">
        <f>Bufalini_Carne!AA136</f>
        <v>0</v>
      </c>
      <c r="D56" s="115">
        <f t="shared" si="1"/>
        <v>0</v>
      </c>
      <c r="E56" s="14">
        <v>180</v>
      </c>
      <c r="F56" s="14">
        <v>120</v>
      </c>
      <c r="G56" s="14" t="str">
        <f t="shared" si="2"/>
        <v xml:space="preserve">   </v>
      </c>
      <c r="H56" s="18">
        <v>90</v>
      </c>
      <c r="I56" s="19" t="str">
        <f t="shared" si="0"/>
        <v xml:space="preserve">    </v>
      </c>
      <c r="J56" s="39">
        <f t="shared" si="3"/>
        <v>0</v>
      </c>
      <c r="K56" s="39">
        <f t="shared" si="4"/>
        <v>0</v>
      </c>
    </row>
    <row r="57" spans="1:11" x14ac:dyDescent="0.25">
      <c r="A57" s="38" t="s">
        <v>175</v>
      </c>
      <c r="B57" s="55">
        <f>Caprini!U17</f>
        <v>0</v>
      </c>
      <c r="C57" s="55">
        <f>Caprini!AA17</f>
        <v>0</v>
      </c>
      <c r="D57" s="115">
        <f t="shared" si="1"/>
        <v>0</v>
      </c>
      <c r="E57" s="14">
        <v>180</v>
      </c>
      <c r="F57" s="14">
        <v>120</v>
      </c>
      <c r="G57" s="14" t="str">
        <f t="shared" si="2"/>
        <v xml:space="preserve">   </v>
      </c>
      <c r="H57" s="18">
        <v>90</v>
      </c>
      <c r="I57" s="19" t="str">
        <f t="shared" si="0"/>
        <v xml:space="preserve">    </v>
      </c>
      <c r="J57" s="39">
        <f t="shared" si="3"/>
        <v>0</v>
      </c>
      <c r="K57" s="39">
        <f t="shared" si="4"/>
        <v>0</v>
      </c>
    </row>
    <row r="58" spans="1:11" x14ac:dyDescent="0.25">
      <c r="A58" s="38" t="s">
        <v>177</v>
      </c>
      <c r="B58" s="55">
        <f>Cunicoli!U14</f>
        <v>0</v>
      </c>
      <c r="C58" s="55">
        <f>Cunicoli!AA14</f>
        <v>0</v>
      </c>
      <c r="D58" s="115">
        <f t="shared" si="1"/>
        <v>0</v>
      </c>
      <c r="E58" s="14">
        <v>180</v>
      </c>
      <c r="F58" s="14">
        <v>180</v>
      </c>
      <c r="G58" s="14" t="str">
        <f t="shared" si="2"/>
        <v xml:space="preserve">   </v>
      </c>
      <c r="H58" s="18">
        <v>180</v>
      </c>
      <c r="I58" s="19" t="str">
        <f t="shared" si="0"/>
        <v xml:space="preserve">    </v>
      </c>
      <c r="J58" s="39">
        <f t="shared" si="3"/>
        <v>0</v>
      </c>
      <c r="K58" s="39">
        <f t="shared" si="4"/>
        <v>0</v>
      </c>
    </row>
    <row r="59" spans="1:11" x14ac:dyDescent="0.25">
      <c r="A59" s="38" t="s">
        <v>178</v>
      </c>
      <c r="B59" s="55">
        <f>Equini!U14</f>
        <v>0</v>
      </c>
      <c r="C59" s="55">
        <f>Equini!AA14</f>
        <v>0</v>
      </c>
      <c r="D59" s="115">
        <f t="shared" si="1"/>
        <v>0</v>
      </c>
      <c r="E59" s="14">
        <v>180</v>
      </c>
      <c r="F59" s="14">
        <v>120</v>
      </c>
      <c r="G59" s="14" t="str">
        <f t="shared" si="2"/>
        <v xml:space="preserve">   </v>
      </c>
      <c r="H59" s="18">
        <v>90</v>
      </c>
      <c r="I59" s="19" t="str">
        <f t="shared" si="0"/>
        <v xml:space="preserve">    </v>
      </c>
      <c r="J59" s="39">
        <f t="shared" si="3"/>
        <v>0</v>
      </c>
      <c r="K59" s="39">
        <f t="shared" si="4"/>
        <v>0</v>
      </c>
    </row>
    <row r="60" spans="1:11" x14ac:dyDescent="0.25">
      <c r="A60" s="38" t="s">
        <v>179</v>
      </c>
      <c r="B60" s="55">
        <f>Ovini!U17</f>
        <v>0</v>
      </c>
      <c r="C60" s="55">
        <f>Ovini!AA17</f>
        <v>0</v>
      </c>
      <c r="D60" s="115">
        <f t="shared" si="1"/>
        <v>0</v>
      </c>
      <c r="E60" s="14">
        <v>180</v>
      </c>
      <c r="F60" s="14">
        <v>120</v>
      </c>
      <c r="G60" s="14" t="str">
        <f t="shared" si="2"/>
        <v xml:space="preserve">   </v>
      </c>
      <c r="H60" s="18">
        <v>90</v>
      </c>
      <c r="I60" s="19" t="str">
        <f t="shared" si="0"/>
        <v xml:space="preserve">    </v>
      </c>
      <c r="J60" s="39">
        <f t="shared" si="3"/>
        <v>0</v>
      </c>
      <c r="K60" s="39">
        <f t="shared" si="4"/>
        <v>0</v>
      </c>
    </row>
    <row r="61" spans="1:11" ht="15.75" thickBot="1" x14ac:dyDescent="0.3">
      <c r="A61" s="40" t="s">
        <v>180</v>
      </c>
      <c r="B61" s="163">
        <f>Suini!W116</f>
        <v>0</v>
      </c>
      <c r="C61" s="163">
        <f>Suini!AC116</f>
        <v>0</v>
      </c>
      <c r="D61" s="214">
        <f t="shared" si="1"/>
        <v>0</v>
      </c>
      <c r="E61" s="41">
        <v>180</v>
      </c>
      <c r="F61" s="41">
        <v>180</v>
      </c>
      <c r="G61" s="41" t="str">
        <f t="shared" si="2"/>
        <v xml:space="preserve">   </v>
      </c>
      <c r="H61" s="42">
        <v>90</v>
      </c>
      <c r="I61" s="43" t="str">
        <f t="shared" si="0"/>
        <v xml:space="preserve">    </v>
      </c>
      <c r="J61" s="44">
        <f t="shared" si="3"/>
        <v>0</v>
      </c>
      <c r="K61" s="39">
        <f t="shared" si="4"/>
        <v>0</v>
      </c>
    </row>
    <row r="62" spans="1:11" ht="15.75" thickBot="1" x14ac:dyDescent="0.3">
      <c r="A62" s="45" t="s">
        <v>144</v>
      </c>
      <c r="B62" s="215">
        <f>SUM(B52:B61)</f>
        <v>0</v>
      </c>
      <c r="C62" s="215">
        <f>SUM(C52:C61)</f>
        <v>0</v>
      </c>
      <c r="D62" s="216">
        <f>IF(B45=0,0,IF(B62=0,90,((D52*B52)+(D53*B53)+(D54*B54)+(D55*B55)+(D56*B56)+(D57*B57)+(D58*B58)+(D59*B59)+(D60*B60)+(D61*B61))/B62))</f>
        <v>0</v>
      </c>
      <c r="J62" s="46">
        <f>IF(B62=0,0,((J52*B52)+(J53*B53)+(J54*B54)+(J55*B55)+(J56*B56)+(J57*B57)+(J58*B58)+(J59*B59)+(J60*B60)+(J61*B61))/B62)</f>
        <v>0</v>
      </c>
      <c r="K62" s="46">
        <f>IF(B44=0,0,IF(B40&gt;0,IF(I14="SI",(((F140+H140)/(F150+H150)*K52)+((F141+H141)/(F150+H150)*K53)+((F142+H142)/(F150+H150)*K54)+((F143+H143)/(F150+H150)*K55)+((F144+H144)/(F150+H150)*K56)+((F145+H145)/(F150+H150)*K57)+((F146+H146)/(F150+H150)*K58)+((F147+H147)/(F150+H150)*K59)+((F148+H148)/(F150+H150)*K60)+((F149+H149)/(F150+H150)*K61))*B40/B44+B41/B44*90+B42/B44*120+B43/B44*Acquis_Cessioni_Prod_Agg!D24,(((F140+H140)/(F150+H150)*K52)+((F141+H141)/(F150+H150)*K53)+((F142+H142)/(F150+H150)*K54)+((F143+H143)/(F150+H150)*K55)+((F144+H144)/(F150+H150)*K56)+((F145+H145)/(F150+H150)*K57)+((F146+H146)/(F150+H150)*K58)+((F147+H147)/(F150+H150)*K59)+((F148+H148)/(F150+H150)*K60)+((F149+H149)/(F150+H150)*K61))*B40/B44+B41/B44*120+B42/B44*120+B43/B44*Acquis_Cessioni_Prod_Agg!D24),IF(I14="SI",B41/B44*90+B42/B44*120+B43/B44*Acquis_Cessioni_Prod_Agg!D24,B41/B44*120+B42/B44*120+ B43/B44*Acquis_Cessioni_Prod_Agg!D24)))</f>
        <v>0</v>
      </c>
    </row>
    <row r="63" spans="1:11" ht="41.25" customHeight="1" x14ac:dyDescent="0.25">
      <c r="A63" s="576" t="s">
        <v>467</v>
      </c>
      <c r="B63" s="522"/>
      <c r="C63" s="522"/>
      <c r="D63" s="522"/>
      <c r="E63" s="522"/>
      <c r="F63" s="522"/>
      <c r="G63" s="522"/>
      <c r="H63" s="522"/>
      <c r="I63" s="522"/>
      <c r="J63" s="522"/>
      <c r="K63" s="522"/>
    </row>
    <row r="64" spans="1:11" x14ac:dyDescent="0.25">
      <c r="A64" s="457" t="s">
        <v>450</v>
      </c>
    </row>
    <row r="65" spans="1:8" x14ac:dyDescent="0.25">
      <c r="A65" s="457"/>
    </row>
    <row r="66" spans="1:8" ht="15.75" thickBot="1" x14ac:dyDescent="0.3">
      <c r="A66" s="485" t="s">
        <v>462</v>
      </c>
      <c r="B66" s="485"/>
      <c r="C66" s="485"/>
      <c r="D66" s="485"/>
      <c r="E66" s="65"/>
      <c r="F66" s="65"/>
      <c r="G66" s="65"/>
    </row>
    <row r="67" spans="1:8" ht="57.75" x14ac:dyDescent="0.25">
      <c r="A67" s="60" t="s">
        <v>197</v>
      </c>
      <c r="B67" s="34" t="s">
        <v>196</v>
      </c>
      <c r="C67" s="34" t="s">
        <v>386</v>
      </c>
      <c r="D67" s="146" t="s">
        <v>466</v>
      </c>
      <c r="E67" s="110" t="s">
        <v>465</v>
      </c>
      <c r="F67" s="65"/>
    </row>
    <row r="68" spans="1:8" x14ac:dyDescent="0.25">
      <c r="A68" s="478" t="s">
        <v>463</v>
      </c>
      <c r="B68" s="477" t="s">
        <v>203</v>
      </c>
      <c r="C68" s="477" t="s">
        <v>203</v>
      </c>
      <c r="D68" s="59">
        <v>0</v>
      </c>
      <c r="E68" s="294">
        <v>0</v>
      </c>
      <c r="F68" s="65"/>
    </row>
    <row r="69" spans="1:8" ht="29.25" customHeight="1" x14ac:dyDescent="0.25">
      <c r="A69" s="247" t="s">
        <v>195</v>
      </c>
      <c r="B69" s="179">
        <f>Aree_Scoperte!C24</f>
        <v>0</v>
      </c>
      <c r="C69" s="179">
        <f>Aree_Scoperte!E24</f>
        <v>0</v>
      </c>
      <c r="D69" s="479" t="s">
        <v>203</v>
      </c>
      <c r="E69" s="294">
        <v>0</v>
      </c>
      <c r="F69" s="30"/>
    </row>
    <row r="70" spans="1:8" ht="45" x14ac:dyDescent="0.25">
      <c r="A70" s="247" t="s">
        <v>193</v>
      </c>
      <c r="B70" s="179">
        <f>Stoccaggi!I24</f>
        <v>0</v>
      </c>
      <c r="C70" s="295">
        <f>Stoccaggi!L24</f>
        <v>0</v>
      </c>
      <c r="D70" s="479" t="s">
        <v>203</v>
      </c>
      <c r="E70" s="294">
        <v>0</v>
      </c>
      <c r="F70" s="30"/>
    </row>
    <row r="71" spans="1:8" ht="45" x14ac:dyDescent="0.25">
      <c r="A71" s="247" t="s">
        <v>194</v>
      </c>
      <c r="B71" s="179">
        <f>Stoccaggi!G44</f>
        <v>0</v>
      </c>
      <c r="C71" s="295">
        <f>Stoccaggi!J44</f>
        <v>0</v>
      </c>
      <c r="D71" s="479" t="s">
        <v>203</v>
      </c>
      <c r="E71" s="294">
        <v>0</v>
      </c>
      <c r="F71" s="30"/>
    </row>
    <row r="72" spans="1:8" ht="15.75" thickBot="1" x14ac:dyDescent="0.3">
      <c r="A72" s="37" t="s">
        <v>144</v>
      </c>
      <c r="B72" s="296">
        <f>SUM(B69:B71)</f>
        <v>0</v>
      </c>
      <c r="C72" s="296">
        <f>SUM(C69:C71)</f>
        <v>0</v>
      </c>
      <c r="D72" s="296">
        <f>D68</f>
        <v>0</v>
      </c>
      <c r="E72" s="297">
        <f>SUM(E68:E71)</f>
        <v>0</v>
      </c>
      <c r="F72" s="30"/>
    </row>
    <row r="73" spans="1:8" x14ac:dyDescent="0.25">
      <c r="A73" s="457" t="s">
        <v>450</v>
      </c>
      <c r="B73" s="28"/>
      <c r="C73" s="28"/>
      <c r="D73" s="28"/>
      <c r="E73" s="29"/>
      <c r="F73" s="30"/>
      <c r="G73" s="29"/>
    </row>
    <row r="74" spans="1:8" ht="20.100000000000001" customHeight="1" thickBot="1" x14ac:dyDescent="0.3">
      <c r="A74" s="570" t="s">
        <v>206</v>
      </c>
      <c r="B74" s="571"/>
      <c r="C74" s="571"/>
      <c r="D74" s="571"/>
      <c r="E74" s="571"/>
      <c r="F74" s="571"/>
    </row>
    <row r="75" spans="1:8" ht="90" x14ac:dyDescent="0.25">
      <c r="A75" s="173" t="s">
        <v>170</v>
      </c>
      <c r="B75" s="34" t="s">
        <v>336</v>
      </c>
      <c r="C75" s="34" t="s">
        <v>201</v>
      </c>
      <c r="D75" s="34" t="s">
        <v>274</v>
      </c>
      <c r="E75" s="228" t="s">
        <v>275</v>
      </c>
      <c r="F75" s="232" t="s">
        <v>337</v>
      </c>
      <c r="G75" s="146" t="s">
        <v>332</v>
      </c>
      <c r="H75" s="228" t="s">
        <v>331</v>
      </c>
    </row>
    <row r="76" spans="1:8" x14ac:dyDescent="0.25">
      <c r="A76" s="38" t="s">
        <v>176</v>
      </c>
      <c r="B76" s="55">
        <f>Avicoli!R49-Avicoli!B51</f>
        <v>0</v>
      </c>
      <c r="C76" s="55">
        <f>Avicoli!S49</f>
        <v>0</v>
      </c>
      <c r="D76" s="55">
        <f>Avicoli!T49</f>
        <v>0</v>
      </c>
      <c r="E76" s="56">
        <f>Avicoli!U49</f>
        <v>0</v>
      </c>
      <c r="F76" s="224">
        <f>Avicoli!B51</f>
        <v>0</v>
      </c>
      <c r="G76" s="59">
        <v>0</v>
      </c>
      <c r="H76" s="233">
        <f>G76*F76</f>
        <v>0</v>
      </c>
    </row>
    <row r="77" spans="1:8" x14ac:dyDescent="0.25">
      <c r="A77" s="38" t="s">
        <v>173</v>
      </c>
      <c r="B77" s="55">
        <f>Bovini_Latte!R92-Bovini_Latte!B94</f>
        <v>0</v>
      </c>
      <c r="C77" s="55">
        <f>Bovini_Latte!S92</f>
        <v>0</v>
      </c>
      <c r="D77" s="55">
        <f>Bovini_Latte!T92</f>
        <v>0</v>
      </c>
      <c r="E77" s="56">
        <f>Bovini_Latte!U92</f>
        <v>0</v>
      </c>
      <c r="F77" s="224">
        <f>Bovini_Latte!B94</f>
        <v>0</v>
      </c>
      <c r="G77" s="59">
        <v>0</v>
      </c>
      <c r="H77" s="233">
        <f>G77*F77</f>
        <v>0</v>
      </c>
    </row>
    <row r="78" spans="1:8" x14ac:dyDescent="0.25">
      <c r="A78" s="38" t="s">
        <v>174</v>
      </c>
      <c r="B78" s="55">
        <f>Bovini_Carne!Q139</f>
        <v>0</v>
      </c>
      <c r="C78" s="55">
        <f>Bovini_Carne!R139</f>
        <v>0</v>
      </c>
      <c r="D78" s="55">
        <f>Bovini_Carne!S139</f>
        <v>0</v>
      </c>
      <c r="E78" s="56">
        <f>Bovini_Carne!T139</f>
        <v>0</v>
      </c>
      <c r="F78" s="234" t="s">
        <v>203</v>
      </c>
      <c r="G78" s="231" t="s">
        <v>203</v>
      </c>
      <c r="H78" s="233" t="s">
        <v>203</v>
      </c>
    </row>
    <row r="79" spans="1:8" x14ac:dyDescent="0.25">
      <c r="A79" s="38" t="s">
        <v>284</v>
      </c>
      <c r="B79" s="55">
        <f>Bufalini_Latte!R93-Bufalini_Latte!B95</f>
        <v>0</v>
      </c>
      <c r="C79" s="55">
        <f>Bufalini_Latte!S93</f>
        <v>0</v>
      </c>
      <c r="D79" s="55">
        <f>Bufalini_Latte!T93</f>
        <v>0</v>
      </c>
      <c r="E79" s="56">
        <f>Bufalini_Latte!U93</f>
        <v>0</v>
      </c>
      <c r="F79" s="224">
        <f>Bufalini_Latte!B95</f>
        <v>0</v>
      </c>
      <c r="G79" s="59">
        <f>Bufalini_Latte!C95</f>
        <v>0</v>
      </c>
      <c r="H79" s="233">
        <f>G79*F79</f>
        <v>0</v>
      </c>
    </row>
    <row r="80" spans="1:8" x14ac:dyDescent="0.25">
      <c r="A80" s="38" t="s">
        <v>285</v>
      </c>
      <c r="B80" s="55">
        <f>Bufalini_Carne!Q136</f>
        <v>0</v>
      </c>
      <c r="C80" s="55">
        <f>Bufalini_Carne!R136</f>
        <v>0</v>
      </c>
      <c r="D80" s="55">
        <f>Bufalini_Carne!S136</f>
        <v>0</v>
      </c>
      <c r="E80" s="56">
        <f>Bufalini_Carne!T136</f>
        <v>0</v>
      </c>
      <c r="F80" s="234" t="s">
        <v>203</v>
      </c>
      <c r="G80" s="231" t="s">
        <v>203</v>
      </c>
      <c r="H80" s="233" t="s">
        <v>203</v>
      </c>
    </row>
    <row r="81" spans="1:8" x14ac:dyDescent="0.25">
      <c r="A81" s="38" t="s">
        <v>175</v>
      </c>
      <c r="B81" s="55">
        <f>Caprini!Q17</f>
        <v>0</v>
      </c>
      <c r="C81" s="55">
        <f>Caprini!R17</f>
        <v>0</v>
      </c>
      <c r="D81" s="55">
        <f>Caprini!S17</f>
        <v>0</v>
      </c>
      <c r="E81" s="56">
        <f>Caprini!T17</f>
        <v>0</v>
      </c>
      <c r="F81" s="234" t="s">
        <v>203</v>
      </c>
      <c r="G81" s="231" t="s">
        <v>203</v>
      </c>
      <c r="H81" s="233" t="s">
        <v>203</v>
      </c>
    </row>
    <row r="82" spans="1:8" x14ac:dyDescent="0.25">
      <c r="A82" s="38" t="s">
        <v>177</v>
      </c>
      <c r="B82" s="55">
        <f>Cunicoli!Q14</f>
        <v>0</v>
      </c>
      <c r="C82" s="55">
        <f>Cunicoli!R14</f>
        <v>0</v>
      </c>
      <c r="D82" s="55">
        <f>Cunicoli!S14</f>
        <v>0</v>
      </c>
      <c r="E82" s="56">
        <f>Cunicoli!T14</f>
        <v>0</v>
      </c>
      <c r="F82" s="234" t="s">
        <v>203</v>
      </c>
      <c r="G82" s="231" t="s">
        <v>203</v>
      </c>
      <c r="H82" s="233" t="s">
        <v>203</v>
      </c>
    </row>
    <row r="83" spans="1:8" x14ac:dyDescent="0.25">
      <c r="A83" s="38" t="s">
        <v>178</v>
      </c>
      <c r="B83" s="55">
        <f>Equini!Q14</f>
        <v>0</v>
      </c>
      <c r="C83" s="55">
        <f>Equini!R14</f>
        <v>0</v>
      </c>
      <c r="D83" s="55">
        <f>Equini!S14</f>
        <v>0</v>
      </c>
      <c r="E83" s="56">
        <f>Equini!T14</f>
        <v>0</v>
      </c>
      <c r="F83" s="234" t="s">
        <v>203</v>
      </c>
      <c r="G83" s="231" t="s">
        <v>203</v>
      </c>
      <c r="H83" s="233" t="s">
        <v>203</v>
      </c>
    </row>
    <row r="84" spans="1:8" x14ac:dyDescent="0.25">
      <c r="A84" s="38" t="s">
        <v>179</v>
      </c>
      <c r="B84" s="55">
        <f>Ovini!Q17</f>
        <v>0</v>
      </c>
      <c r="C84" s="55">
        <f>Ovini!R17</f>
        <v>0</v>
      </c>
      <c r="D84" s="55">
        <f>Ovini!S17</f>
        <v>0</v>
      </c>
      <c r="E84" s="56">
        <f>Ovini!T17</f>
        <v>0</v>
      </c>
      <c r="F84" s="234" t="s">
        <v>203</v>
      </c>
      <c r="G84" s="231" t="s">
        <v>203</v>
      </c>
      <c r="H84" s="233" t="s">
        <v>203</v>
      </c>
    </row>
    <row r="85" spans="1:8" x14ac:dyDescent="0.25">
      <c r="A85" s="38" t="s">
        <v>180</v>
      </c>
      <c r="B85" s="55">
        <f>Suini!S116</f>
        <v>0</v>
      </c>
      <c r="C85" s="55">
        <f>Suini!T116</f>
        <v>0</v>
      </c>
      <c r="D85" s="55">
        <f>Suini!U116</f>
        <v>0</v>
      </c>
      <c r="E85" s="56">
        <f>Suini!V116</f>
        <v>0</v>
      </c>
      <c r="F85" s="234" t="s">
        <v>203</v>
      </c>
      <c r="G85" s="231" t="s">
        <v>203</v>
      </c>
      <c r="H85" s="233" t="s">
        <v>203</v>
      </c>
    </row>
    <row r="86" spans="1:8" ht="15.75" thickBot="1" x14ac:dyDescent="0.3">
      <c r="A86" s="47" t="s">
        <v>144</v>
      </c>
      <c r="B86" s="57">
        <f>SUM(B76:B85)</f>
        <v>0</v>
      </c>
      <c r="C86" s="57">
        <f>SUM(C76:C85)</f>
        <v>0</v>
      </c>
      <c r="D86" s="57">
        <f>SUM(D76:D85)</f>
        <v>0</v>
      </c>
      <c r="E86" s="217">
        <f>SUM(E76:E85)</f>
        <v>0</v>
      </c>
      <c r="F86" s="235">
        <f>SUM(F76:F85)</f>
        <v>0</v>
      </c>
      <c r="G86" s="41"/>
      <c r="H86" s="236">
        <f>SUM(H76:H85)</f>
        <v>0</v>
      </c>
    </row>
    <row r="87" spans="1:8" x14ac:dyDescent="0.25">
      <c r="A87" s="457" t="s">
        <v>450</v>
      </c>
    </row>
    <row r="88" spans="1:8" ht="20.100000000000001" customHeight="1" thickBot="1" x14ac:dyDescent="0.3">
      <c r="A88" s="257" t="s">
        <v>355</v>
      </c>
    </row>
    <row r="89" spans="1:8" ht="45.75" customHeight="1" x14ac:dyDescent="0.25">
      <c r="A89" s="362" t="s">
        <v>356</v>
      </c>
      <c r="B89" s="361" t="s">
        <v>360</v>
      </c>
      <c r="C89" s="361" t="s">
        <v>361</v>
      </c>
      <c r="D89" s="34" t="s">
        <v>384</v>
      </c>
      <c r="E89" s="228" t="s">
        <v>385</v>
      </c>
      <c r="F89" s="228" t="s">
        <v>410</v>
      </c>
    </row>
    <row r="90" spans="1:8" ht="45" x14ac:dyDescent="0.25">
      <c r="A90" s="275" t="s">
        <v>440</v>
      </c>
      <c r="B90" s="258">
        <f>Acquis_Cessioni_Prod_Agg!H24</f>
        <v>0</v>
      </c>
      <c r="C90" s="258">
        <f>Acquis_Cessioni_Prod_Agg!I24</f>
        <v>0</v>
      </c>
      <c r="D90" s="179">
        <f>Acquis_Cessioni_Prod_Agg!J24</f>
        <v>0</v>
      </c>
      <c r="E90" s="276">
        <f>Acquis_Cessioni_Prod_Agg!K24</f>
        <v>0</v>
      </c>
      <c r="F90" s="516">
        <f>Acquis_Cessioni_Prod_Agg!G24+Acquis_Cessioni_Prod_Agg!F44</f>
        <v>0</v>
      </c>
    </row>
    <row r="91" spans="1:8" ht="30.75" customHeight="1" x14ac:dyDescent="0.25">
      <c r="A91" s="275" t="s">
        <v>441</v>
      </c>
      <c r="B91" s="258">
        <f>Acquis_Cessioni_Prod_Agg!G44</f>
        <v>0</v>
      </c>
      <c r="C91" s="258">
        <f>Acquis_Cessioni_Prod_Agg!H44</f>
        <v>0</v>
      </c>
      <c r="D91" s="258">
        <f>Acquis_Cessioni_Prod_Agg!I44</f>
        <v>0</v>
      </c>
      <c r="E91" s="258">
        <f>Acquis_Cessioni_Prod_Agg!J44</f>
        <v>0</v>
      </c>
      <c r="F91" s="517"/>
    </row>
    <row r="92" spans="1:8" ht="32.25" customHeight="1" x14ac:dyDescent="0.25">
      <c r="A92" s="275" t="s">
        <v>442</v>
      </c>
      <c r="B92" s="258">
        <f>Acquis_Cessioni_Prod_Agg!I63</f>
        <v>0</v>
      </c>
      <c r="C92" s="258">
        <f>Acquis_Cessioni_Prod_Agg!J63</f>
        <v>0</v>
      </c>
      <c r="D92" s="179">
        <f>Acquis_Cessioni_Prod_Agg!K63</f>
        <v>0</v>
      </c>
      <c r="E92" s="276">
        <f>Acquis_Cessioni_Prod_Agg!L63</f>
        <v>0</v>
      </c>
      <c r="F92" s="516">
        <f>Acquis_Cessioni_Prod_Agg!H63</f>
        <v>0</v>
      </c>
    </row>
    <row r="93" spans="1:8" ht="30" x14ac:dyDescent="0.25">
      <c r="A93" s="275" t="s">
        <v>443</v>
      </c>
      <c r="B93" s="332">
        <f>Acquis_Cessioni_Prod_Agg!M63</f>
        <v>0</v>
      </c>
      <c r="C93" s="332">
        <f>Acquis_Cessioni_Prod_Agg!N63</f>
        <v>0</v>
      </c>
      <c r="D93" s="332">
        <f>Acquis_Cessioni_Prod_Agg!O63</f>
        <v>0</v>
      </c>
      <c r="E93" s="332">
        <f>Acquis_Cessioni_Prod_Agg!P63</f>
        <v>0</v>
      </c>
      <c r="F93" s="517"/>
    </row>
    <row r="94" spans="1:8" ht="30.75" thickBot="1" x14ac:dyDescent="0.3">
      <c r="A94" s="277" t="s">
        <v>351</v>
      </c>
      <c r="B94" s="278">
        <f>Acquis_Cessioni_Prod_Agg!G82</f>
        <v>0</v>
      </c>
      <c r="C94" s="279" t="s">
        <v>362</v>
      </c>
      <c r="D94" s="180">
        <f>Acquis_Cessioni_Prod_Agg!H82</f>
        <v>0</v>
      </c>
      <c r="E94" s="280" t="str">
        <f>C94</f>
        <v xml:space="preserve"> ---</v>
      </c>
      <c r="F94" s="280" t="str">
        <f>E94</f>
        <v xml:space="preserve"> ---</v>
      </c>
    </row>
    <row r="95" spans="1:8" x14ac:dyDescent="0.25">
      <c r="A95" s="457" t="s">
        <v>450</v>
      </c>
    </row>
    <row r="96" spans="1:8" x14ac:dyDescent="0.25">
      <c r="A96" s="457"/>
    </row>
    <row r="97" spans="1:14" ht="20.25" customHeight="1" thickBot="1" x14ac:dyDescent="0.3">
      <c r="A97" s="481" t="s">
        <v>379</v>
      </c>
      <c r="B97" s="482"/>
      <c r="C97" s="482"/>
      <c r="D97" s="482"/>
      <c r="E97" s="482"/>
      <c r="F97" s="482"/>
      <c r="G97" s="482"/>
      <c r="H97" s="482"/>
      <c r="I97" s="483"/>
      <c r="J97" s="483"/>
      <c r="K97" s="483"/>
    </row>
    <row r="98" spans="1:14" ht="90" x14ac:dyDescent="0.25">
      <c r="A98" s="199" t="s">
        <v>170</v>
      </c>
      <c r="B98" s="200" t="s">
        <v>334</v>
      </c>
      <c r="C98" s="93" t="s">
        <v>371</v>
      </c>
      <c r="D98" s="200" t="s">
        <v>372</v>
      </c>
      <c r="E98" s="93" t="s">
        <v>469</v>
      </c>
      <c r="F98" s="200" t="s">
        <v>373</v>
      </c>
      <c r="G98" s="200" t="s">
        <v>389</v>
      </c>
      <c r="H98" s="201" t="s">
        <v>390</v>
      </c>
      <c r="I98" s="202" t="s">
        <v>378</v>
      </c>
      <c r="J98" s="200" t="s">
        <v>375</v>
      </c>
      <c r="K98" s="200" t="s">
        <v>374</v>
      </c>
      <c r="L98" s="201" t="s">
        <v>308</v>
      </c>
    </row>
    <row r="99" spans="1:14" x14ac:dyDescent="0.25">
      <c r="A99" s="203" t="s">
        <v>176</v>
      </c>
      <c r="B99" s="204">
        <f t="shared" ref="B99:B108" si="5">B76</f>
        <v>0</v>
      </c>
      <c r="C99" s="59">
        <v>0</v>
      </c>
      <c r="D99" s="204">
        <f>B99*C99/100</f>
        <v>0</v>
      </c>
      <c r="E99" s="59">
        <v>0</v>
      </c>
      <c r="F99" s="204">
        <f>IF(C99=0, B99, B99-D99)</f>
        <v>0</v>
      </c>
      <c r="G99" s="204">
        <f>IF(C99=0, 0, D99-E99*D99/100)</f>
        <v>0</v>
      </c>
      <c r="H99" s="205">
        <f t="shared" ref="H99:H108" si="6">D99-G99</f>
        <v>0</v>
      </c>
      <c r="I99" s="197">
        <v>0</v>
      </c>
      <c r="J99" s="204">
        <f t="shared" ref="J99:J108" si="7">D76-K99-L99</f>
        <v>0</v>
      </c>
      <c r="K99" s="204">
        <f t="shared" ref="K99:K108" si="8">D76*C99/100-(D76*C99/100*I99/100)</f>
        <v>0</v>
      </c>
      <c r="L99" s="205">
        <f t="shared" ref="L99:L108" si="9">D76*C99/100*I99/100</f>
        <v>0</v>
      </c>
    </row>
    <row r="100" spans="1:14" x14ac:dyDescent="0.25">
      <c r="A100" s="203" t="s">
        <v>173</v>
      </c>
      <c r="B100" s="204">
        <f t="shared" si="5"/>
        <v>0</v>
      </c>
      <c r="C100" s="59">
        <v>0</v>
      </c>
      <c r="D100" s="204">
        <f t="shared" ref="D100:D108" si="10">B100*C100/100</f>
        <v>0</v>
      </c>
      <c r="E100" s="59">
        <v>0</v>
      </c>
      <c r="F100" s="204">
        <f t="shared" ref="F100:F108" si="11">IF(C100=0, B100, B100-D100)</f>
        <v>0</v>
      </c>
      <c r="G100" s="204">
        <f t="shared" ref="G100:G108" si="12">IF(C100=0, 0, D100-E100*D100/100)</f>
        <v>0</v>
      </c>
      <c r="H100" s="205">
        <f t="shared" si="6"/>
        <v>0</v>
      </c>
      <c r="I100" s="59">
        <v>0</v>
      </c>
      <c r="J100" s="204">
        <f t="shared" si="7"/>
        <v>0</v>
      </c>
      <c r="K100" s="204">
        <f t="shared" si="8"/>
        <v>0</v>
      </c>
      <c r="L100" s="205">
        <f t="shared" si="9"/>
        <v>0</v>
      </c>
      <c r="M100" s="281"/>
    </row>
    <row r="101" spans="1:14" x14ac:dyDescent="0.25">
      <c r="A101" s="203" t="s">
        <v>174</v>
      </c>
      <c r="B101" s="204">
        <f t="shared" si="5"/>
        <v>0</v>
      </c>
      <c r="C101" s="59">
        <v>0</v>
      </c>
      <c r="D101" s="204">
        <f t="shared" si="10"/>
        <v>0</v>
      </c>
      <c r="E101" s="59">
        <v>0</v>
      </c>
      <c r="F101" s="204">
        <f t="shared" si="11"/>
        <v>0</v>
      </c>
      <c r="G101" s="204">
        <f t="shared" si="12"/>
        <v>0</v>
      </c>
      <c r="H101" s="205">
        <f t="shared" si="6"/>
        <v>0</v>
      </c>
      <c r="I101" s="59">
        <v>0</v>
      </c>
      <c r="J101" s="204">
        <f t="shared" si="7"/>
        <v>0</v>
      </c>
      <c r="K101" s="204">
        <f t="shared" si="8"/>
        <v>0</v>
      </c>
      <c r="L101" s="205">
        <f t="shared" si="9"/>
        <v>0</v>
      </c>
    </row>
    <row r="102" spans="1:14" x14ac:dyDescent="0.25">
      <c r="A102" s="203" t="s">
        <v>284</v>
      </c>
      <c r="B102" s="204">
        <f t="shared" si="5"/>
        <v>0</v>
      </c>
      <c r="C102" s="59">
        <v>0</v>
      </c>
      <c r="D102" s="204">
        <f t="shared" si="10"/>
        <v>0</v>
      </c>
      <c r="E102" s="59">
        <v>0</v>
      </c>
      <c r="F102" s="204">
        <f t="shared" si="11"/>
        <v>0</v>
      </c>
      <c r="G102" s="204">
        <f t="shared" si="12"/>
        <v>0</v>
      </c>
      <c r="H102" s="205">
        <f t="shared" si="6"/>
        <v>0</v>
      </c>
      <c r="I102" s="197">
        <v>0</v>
      </c>
      <c r="J102" s="204">
        <f t="shared" si="7"/>
        <v>0</v>
      </c>
      <c r="K102" s="204">
        <f t="shared" si="8"/>
        <v>0</v>
      </c>
      <c r="L102" s="205">
        <f t="shared" si="9"/>
        <v>0</v>
      </c>
    </row>
    <row r="103" spans="1:14" x14ac:dyDescent="0.25">
      <c r="A103" s="203" t="s">
        <v>285</v>
      </c>
      <c r="B103" s="204">
        <f t="shared" si="5"/>
        <v>0</v>
      </c>
      <c r="C103" s="59">
        <v>0</v>
      </c>
      <c r="D103" s="204">
        <f t="shared" si="10"/>
        <v>0</v>
      </c>
      <c r="E103" s="59">
        <v>0</v>
      </c>
      <c r="F103" s="204">
        <f t="shared" si="11"/>
        <v>0</v>
      </c>
      <c r="G103" s="204">
        <f t="shared" si="12"/>
        <v>0</v>
      </c>
      <c r="H103" s="205">
        <f t="shared" si="6"/>
        <v>0</v>
      </c>
      <c r="I103" s="197">
        <v>0</v>
      </c>
      <c r="J103" s="204">
        <f t="shared" si="7"/>
        <v>0</v>
      </c>
      <c r="K103" s="204">
        <f t="shared" si="8"/>
        <v>0</v>
      </c>
      <c r="L103" s="205">
        <f t="shared" si="9"/>
        <v>0</v>
      </c>
    </row>
    <row r="104" spans="1:14" x14ac:dyDescent="0.25">
      <c r="A104" s="203" t="s">
        <v>175</v>
      </c>
      <c r="B104" s="204">
        <f t="shared" si="5"/>
        <v>0</v>
      </c>
      <c r="C104" s="59">
        <v>0</v>
      </c>
      <c r="D104" s="204">
        <f t="shared" si="10"/>
        <v>0</v>
      </c>
      <c r="E104" s="59">
        <v>0</v>
      </c>
      <c r="F104" s="204">
        <f t="shared" si="11"/>
        <v>0</v>
      </c>
      <c r="G104" s="204">
        <f t="shared" si="12"/>
        <v>0</v>
      </c>
      <c r="H104" s="205">
        <f t="shared" si="6"/>
        <v>0</v>
      </c>
      <c r="I104" s="197">
        <v>0</v>
      </c>
      <c r="J104" s="204">
        <f t="shared" si="7"/>
        <v>0</v>
      </c>
      <c r="K104" s="204">
        <f t="shared" si="8"/>
        <v>0</v>
      </c>
      <c r="L104" s="205">
        <f t="shared" si="9"/>
        <v>0</v>
      </c>
    </row>
    <row r="105" spans="1:14" x14ac:dyDescent="0.25">
      <c r="A105" s="203" t="s">
        <v>177</v>
      </c>
      <c r="B105" s="204">
        <f t="shared" si="5"/>
        <v>0</v>
      </c>
      <c r="C105" s="59">
        <v>0</v>
      </c>
      <c r="D105" s="204">
        <f t="shared" si="10"/>
        <v>0</v>
      </c>
      <c r="E105" s="59">
        <v>0</v>
      </c>
      <c r="F105" s="204">
        <f t="shared" si="11"/>
        <v>0</v>
      </c>
      <c r="G105" s="204">
        <f t="shared" si="12"/>
        <v>0</v>
      </c>
      <c r="H105" s="205">
        <f t="shared" si="6"/>
        <v>0</v>
      </c>
      <c r="I105" s="197">
        <v>0</v>
      </c>
      <c r="J105" s="204">
        <f t="shared" si="7"/>
        <v>0</v>
      </c>
      <c r="K105" s="204">
        <f t="shared" si="8"/>
        <v>0</v>
      </c>
      <c r="L105" s="205">
        <f t="shared" si="9"/>
        <v>0</v>
      </c>
    </row>
    <row r="106" spans="1:14" x14ac:dyDescent="0.25">
      <c r="A106" s="203" t="s">
        <v>178</v>
      </c>
      <c r="B106" s="204">
        <f t="shared" si="5"/>
        <v>0</v>
      </c>
      <c r="C106" s="59">
        <v>0</v>
      </c>
      <c r="D106" s="204">
        <f t="shared" si="10"/>
        <v>0</v>
      </c>
      <c r="E106" s="59">
        <v>0</v>
      </c>
      <c r="F106" s="204">
        <f t="shared" si="11"/>
        <v>0</v>
      </c>
      <c r="G106" s="204">
        <f t="shared" si="12"/>
        <v>0</v>
      </c>
      <c r="H106" s="205">
        <f t="shared" si="6"/>
        <v>0</v>
      </c>
      <c r="I106" s="197">
        <v>0</v>
      </c>
      <c r="J106" s="204">
        <f t="shared" si="7"/>
        <v>0</v>
      </c>
      <c r="K106" s="204">
        <f t="shared" si="8"/>
        <v>0</v>
      </c>
      <c r="L106" s="205">
        <f t="shared" si="9"/>
        <v>0</v>
      </c>
    </row>
    <row r="107" spans="1:14" x14ac:dyDescent="0.25">
      <c r="A107" s="203" t="s">
        <v>179</v>
      </c>
      <c r="B107" s="204">
        <f t="shared" si="5"/>
        <v>0</v>
      </c>
      <c r="C107" s="59">
        <v>0</v>
      </c>
      <c r="D107" s="204">
        <f t="shared" si="10"/>
        <v>0</v>
      </c>
      <c r="E107" s="59">
        <v>0</v>
      </c>
      <c r="F107" s="204">
        <f t="shared" si="11"/>
        <v>0</v>
      </c>
      <c r="G107" s="204">
        <f t="shared" si="12"/>
        <v>0</v>
      </c>
      <c r="H107" s="205">
        <f t="shared" si="6"/>
        <v>0</v>
      </c>
      <c r="I107" s="197">
        <v>0</v>
      </c>
      <c r="J107" s="204">
        <f t="shared" si="7"/>
        <v>0</v>
      </c>
      <c r="K107" s="204">
        <f t="shared" si="8"/>
        <v>0</v>
      </c>
      <c r="L107" s="205">
        <f t="shared" si="9"/>
        <v>0</v>
      </c>
    </row>
    <row r="108" spans="1:14" x14ac:dyDescent="0.25">
      <c r="A108" s="203" t="s">
        <v>180</v>
      </c>
      <c r="B108" s="204">
        <f t="shared" si="5"/>
        <v>0</v>
      </c>
      <c r="C108" s="59">
        <v>0</v>
      </c>
      <c r="D108" s="204">
        <f t="shared" si="10"/>
        <v>0</v>
      </c>
      <c r="E108" s="59">
        <v>0</v>
      </c>
      <c r="F108" s="204">
        <f t="shared" si="11"/>
        <v>0</v>
      </c>
      <c r="G108" s="204">
        <f t="shared" si="12"/>
        <v>0</v>
      </c>
      <c r="H108" s="205">
        <f t="shared" si="6"/>
        <v>0</v>
      </c>
      <c r="I108" s="59">
        <v>0</v>
      </c>
      <c r="J108" s="204">
        <f t="shared" si="7"/>
        <v>0</v>
      </c>
      <c r="K108" s="204">
        <f t="shared" si="8"/>
        <v>0</v>
      </c>
      <c r="L108" s="205">
        <f t="shared" si="9"/>
        <v>0</v>
      </c>
    </row>
    <row r="109" spans="1:14" ht="15.75" thickBot="1" x14ac:dyDescent="0.3">
      <c r="A109" s="206" t="s">
        <v>144</v>
      </c>
      <c r="B109" s="207">
        <f>SUM(B99:B108)</f>
        <v>0</v>
      </c>
      <c r="C109" s="207">
        <f>IF(B109=0,0,D109/B109*100)</f>
        <v>0</v>
      </c>
      <c r="D109" s="207">
        <f>SUM(D99:D108)</f>
        <v>0</v>
      </c>
      <c r="E109" s="207">
        <f>IF(D109=0,0,(D109-G109)/D109*100)</f>
        <v>0</v>
      </c>
      <c r="F109" s="207">
        <f>SUM(F99:F108)</f>
        <v>0</v>
      </c>
      <c r="G109" s="207">
        <f>SUM(G99:G108)</f>
        <v>0</v>
      </c>
      <c r="H109" s="208">
        <f>SUM(H99:H108)</f>
        <v>0</v>
      </c>
      <c r="I109" s="218">
        <f>IF(D109=0,0,L109/(D86*C109/100)*100)</f>
        <v>0</v>
      </c>
      <c r="J109" s="209">
        <f>SUM(J99:J108)</f>
        <v>0</v>
      </c>
      <c r="K109" s="209">
        <f>SUM(K99:K108)</f>
        <v>0</v>
      </c>
      <c r="L109" s="208">
        <f>SUM(L99:L108)</f>
        <v>0</v>
      </c>
      <c r="N109" s="281"/>
    </row>
    <row r="110" spans="1:14" ht="90" x14ac:dyDescent="0.25">
      <c r="A110" s="199" t="s">
        <v>170</v>
      </c>
      <c r="B110" s="200" t="s">
        <v>411</v>
      </c>
      <c r="C110" s="93" t="s">
        <v>412</v>
      </c>
      <c r="D110" s="200" t="s">
        <v>413</v>
      </c>
      <c r="E110" s="93" t="s">
        <v>469</v>
      </c>
      <c r="F110" s="200" t="s">
        <v>414</v>
      </c>
      <c r="G110" s="200" t="s">
        <v>389</v>
      </c>
      <c r="H110" s="201" t="s">
        <v>390</v>
      </c>
      <c r="I110" s="202" t="s">
        <v>378</v>
      </c>
      <c r="J110" s="200" t="s">
        <v>375</v>
      </c>
      <c r="K110" s="200" t="s">
        <v>374</v>
      </c>
      <c r="L110" s="201" t="s">
        <v>308</v>
      </c>
    </row>
    <row r="111" spans="1:14" x14ac:dyDescent="0.25">
      <c r="A111" s="203" t="s">
        <v>176</v>
      </c>
      <c r="B111" s="204">
        <f t="shared" ref="B111:B120" si="13">C76</f>
        <v>0</v>
      </c>
      <c r="C111" s="59">
        <v>0</v>
      </c>
      <c r="D111" s="204">
        <f>B111*C111/100</f>
        <v>0</v>
      </c>
      <c r="E111" s="59">
        <v>0</v>
      </c>
      <c r="F111" s="204">
        <f>IF(C111=0, B111, B111-D111)</f>
        <v>0</v>
      </c>
      <c r="G111" s="204">
        <f>IF(C111=0, 0, D111-E111*D111/100)</f>
        <v>0</v>
      </c>
      <c r="H111" s="205">
        <f t="shared" ref="H111:H120" si="14">D111-G111</f>
        <v>0</v>
      </c>
      <c r="I111" s="197">
        <v>0</v>
      </c>
      <c r="J111" s="204">
        <f t="shared" ref="J111:J120" si="15">E76-K111-L111</f>
        <v>0</v>
      </c>
      <c r="K111" s="204">
        <f>E76*C111/100-(E76*C111/100*I111/100)</f>
        <v>0</v>
      </c>
      <c r="L111" s="205">
        <f t="shared" ref="L111:L120" si="16">E76*C111/100*I111/100</f>
        <v>0</v>
      </c>
    </row>
    <row r="112" spans="1:14" x14ac:dyDescent="0.25">
      <c r="A112" s="203" t="s">
        <v>173</v>
      </c>
      <c r="B112" s="204">
        <f t="shared" si="13"/>
        <v>0</v>
      </c>
      <c r="C112" s="59">
        <v>0</v>
      </c>
      <c r="D112" s="204">
        <f t="shared" ref="D112:D120" si="17">B112*C112/100</f>
        <v>0</v>
      </c>
      <c r="E112" s="59">
        <v>0</v>
      </c>
      <c r="F112" s="204">
        <f t="shared" ref="F112:F120" si="18">IF(C112=0, B112, B112-D112)</f>
        <v>0</v>
      </c>
      <c r="G112" s="204">
        <f t="shared" ref="G112:G120" si="19">IF(C112=0, 0, D112-E112*D112/100)</f>
        <v>0</v>
      </c>
      <c r="H112" s="205">
        <f t="shared" si="14"/>
        <v>0</v>
      </c>
      <c r="I112" s="59">
        <v>0</v>
      </c>
      <c r="J112" s="204">
        <f t="shared" si="15"/>
        <v>0</v>
      </c>
      <c r="K112" s="204">
        <f t="shared" ref="K112:K120" si="20">E77*C112/100-(E77*C112/100*I112/100)</f>
        <v>0</v>
      </c>
      <c r="L112" s="205">
        <f t="shared" si="16"/>
        <v>0</v>
      </c>
    </row>
    <row r="113" spans="1:12" x14ac:dyDescent="0.25">
      <c r="A113" s="203" t="s">
        <v>174</v>
      </c>
      <c r="B113" s="204">
        <f t="shared" si="13"/>
        <v>0</v>
      </c>
      <c r="C113" s="59">
        <v>0</v>
      </c>
      <c r="D113" s="204">
        <f t="shared" si="17"/>
        <v>0</v>
      </c>
      <c r="E113" s="59">
        <v>0</v>
      </c>
      <c r="F113" s="204">
        <f t="shared" si="18"/>
        <v>0</v>
      </c>
      <c r="G113" s="204">
        <f t="shared" si="19"/>
        <v>0</v>
      </c>
      <c r="H113" s="205">
        <f t="shared" si="14"/>
        <v>0</v>
      </c>
      <c r="I113" s="59">
        <v>0</v>
      </c>
      <c r="J113" s="204">
        <f t="shared" si="15"/>
        <v>0</v>
      </c>
      <c r="K113" s="204">
        <f t="shared" si="20"/>
        <v>0</v>
      </c>
      <c r="L113" s="205">
        <f t="shared" si="16"/>
        <v>0</v>
      </c>
    </row>
    <row r="114" spans="1:12" x14ac:dyDescent="0.25">
      <c r="A114" s="203" t="s">
        <v>284</v>
      </c>
      <c r="B114" s="204">
        <f t="shared" si="13"/>
        <v>0</v>
      </c>
      <c r="C114" s="59">
        <v>0</v>
      </c>
      <c r="D114" s="204">
        <f t="shared" si="17"/>
        <v>0</v>
      </c>
      <c r="E114" s="59">
        <v>0</v>
      </c>
      <c r="F114" s="204">
        <f t="shared" si="18"/>
        <v>0</v>
      </c>
      <c r="G114" s="204">
        <f t="shared" si="19"/>
        <v>0</v>
      </c>
      <c r="H114" s="205">
        <f t="shared" si="14"/>
        <v>0</v>
      </c>
      <c r="I114" s="197">
        <v>0</v>
      </c>
      <c r="J114" s="204">
        <f t="shared" si="15"/>
        <v>0</v>
      </c>
      <c r="K114" s="204">
        <f t="shared" si="20"/>
        <v>0</v>
      </c>
      <c r="L114" s="205">
        <f t="shared" si="16"/>
        <v>0</v>
      </c>
    </row>
    <row r="115" spans="1:12" x14ac:dyDescent="0.25">
      <c r="A115" s="203" t="s">
        <v>285</v>
      </c>
      <c r="B115" s="204">
        <f t="shared" si="13"/>
        <v>0</v>
      </c>
      <c r="C115" s="59">
        <v>0</v>
      </c>
      <c r="D115" s="204">
        <f t="shared" si="17"/>
        <v>0</v>
      </c>
      <c r="E115" s="59">
        <v>0</v>
      </c>
      <c r="F115" s="204">
        <f t="shared" si="18"/>
        <v>0</v>
      </c>
      <c r="G115" s="204">
        <f t="shared" si="19"/>
        <v>0</v>
      </c>
      <c r="H115" s="205">
        <f t="shared" si="14"/>
        <v>0</v>
      </c>
      <c r="I115" s="197">
        <v>0</v>
      </c>
      <c r="J115" s="204">
        <f t="shared" si="15"/>
        <v>0</v>
      </c>
      <c r="K115" s="204">
        <f t="shared" si="20"/>
        <v>0</v>
      </c>
      <c r="L115" s="205">
        <f t="shared" si="16"/>
        <v>0</v>
      </c>
    </row>
    <row r="116" spans="1:12" x14ac:dyDescent="0.25">
      <c r="A116" s="203" t="s">
        <v>175</v>
      </c>
      <c r="B116" s="204">
        <f t="shared" si="13"/>
        <v>0</v>
      </c>
      <c r="C116" s="59">
        <v>0</v>
      </c>
      <c r="D116" s="204">
        <f t="shared" si="17"/>
        <v>0</v>
      </c>
      <c r="E116" s="59">
        <v>0</v>
      </c>
      <c r="F116" s="204">
        <f t="shared" si="18"/>
        <v>0</v>
      </c>
      <c r="G116" s="204">
        <f t="shared" si="19"/>
        <v>0</v>
      </c>
      <c r="H116" s="205">
        <f t="shared" si="14"/>
        <v>0</v>
      </c>
      <c r="I116" s="197">
        <v>0</v>
      </c>
      <c r="J116" s="204">
        <f t="shared" si="15"/>
        <v>0</v>
      </c>
      <c r="K116" s="204">
        <f t="shared" si="20"/>
        <v>0</v>
      </c>
      <c r="L116" s="205">
        <f t="shared" si="16"/>
        <v>0</v>
      </c>
    </row>
    <row r="117" spans="1:12" x14ac:dyDescent="0.25">
      <c r="A117" s="203" t="s">
        <v>177</v>
      </c>
      <c r="B117" s="204">
        <f t="shared" si="13"/>
        <v>0</v>
      </c>
      <c r="C117" s="59">
        <v>0</v>
      </c>
      <c r="D117" s="204">
        <f t="shared" si="17"/>
        <v>0</v>
      </c>
      <c r="E117" s="59">
        <v>0</v>
      </c>
      <c r="F117" s="204">
        <f t="shared" si="18"/>
        <v>0</v>
      </c>
      <c r="G117" s="204">
        <f t="shared" si="19"/>
        <v>0</v>
      </c>
      <c r="H117" s="205">
        <f t="shared" si="14"/>
        <v>0</v>
      </c>
      <c r="I117" s="197">
        <v>0</v>
      </c>
      <c r="J117" s="204">
        <f t="shared" si="15"/>
        <v>0</v>
      </c>
      <c r="K117" s="204">
        <f t="shared" si="20"/>
        <v>0</v>
      </c>
      <c r="L117" s="205">
        <f t="shared" si="16"/>
        <v>0</v>
      </c>
    </row>
    <row r="118" spans="1:12" x14ac:dyDescent="0.25">
      <c r="A118" s="203" t="s">
        <v>178</v>
      </c>
      <c r="B118" s="204">
        <f t="shared" si="13"/>
        <v>0</v>
      </c>
      <c r="C118" s="59">
        <v>0</v>
      </c>
      <c r="D118" s="204">
        <f t="shared" si="17"/>
        <v>0</v>
      </c>
      <c r="E118" s="59">
        <v>0</v>
      </c>
      <c r="F118" s="204">
        <f t="shared" si="18"/>
        <v>0</v>
      </c>
      <c r="G118" s="204">
        <f t="shared" si="19"/>
        <v>0</v>
      </c>
      <c r="H118" s="205">
        <f t="shared" si="14"/>
        <v>0</v>
      </c>
      <c r="I118" s="197">
        <v>0</v>
      </c>
      <c r="J118" s="204">
        <f t="shared" si="15"/>
        <v>0</v>
      </c>
      <c r="K118" s="204">
        <f t="shared" si="20"/>
        <v>0</v>
      </c>
      <c r="L118" s="205">
        <f t="shared" si="16"/>
        <v>0</v>
      </c>
    </row>
    <row r="119" spans="1:12" x14ac:dyDescent="0.25">
      <c r="A119" s="203" t="s">
        <v>179</v>
      </c>
      <c r="B119" s="204">
        <f t="shared" si="13"/>
        <v>0</v>
      </c>
      <c r="C119" s="59">
        <v>0</v>
      </c>
      <c r="D119" s="204">
        <f t="shared" si="17"/>
        <v>0</v>
      </c>
      <c r="E119" s="59">
        <v>0</v>
      </c>
      <c r="F119" s="204">
        <f t="shared" si="18"/>
        <v>0</v>
      </c>
      <c r="G119" s="204">
        <f t="shared" si="19"/>
        <v>0</v>
      </c>
      <c r="H119" s="205">
        <f t="shared" si="14"/>
        <v>0</v>
      </c>
      <c r="I119" s="197">
        <v>0</v>
      </c>
      <c r="J119" s="204">
        <f t="shared" si="15"/>
        <v>0</v>
      </c>
      <c r="K119" s="204">
        <f t="shared" si="20"/>
        <v>0</v>
      </c>
      <c r="L119" s="205">
        <f t="shared" si="16"/>
        <v>0</v>
      </c>
    </row>
    <row r="120" spans="1:12" x14ac:dyDescent="0.25">
      <c r="A120" s="203" t="s">
        <v>180</v>
      </c>
      <c r="B120" s="204">
        <f t="shared" si="13"/>
        <v>0</v>
      </c>
      <c r="C120" s="59">
        <v>0</v>
      </c>
      <c r="D120" s="204">
        <f t="shared" si="17"/>
        <v>0</v>
      </c>
      <c r="E120" s="59">
        <v>0</v>
      </c>
      <c r="F120" s="204">
        <f t="shared" si="18"/>
        <v>0</v>
      </c>
      <c r="G120" s="204">
        <f t="shared" si="19"/>
        <v>0</v>
      </c>
      <c r="H120" s="205">
        <f t="shared" si="14"/>
        <v>0</v>
      </c>
      <c r="I120" s="59">
        <v>0</v>
      </c>
      <c r="J120" s="204">
        <f t="shared" si="15"/>
        <v>0</v>
      </c>
      <c r="K120" s="204">
        <f t="shared" si="20"/>
        <v>0</v>
      </c>
      <c r="L120" s="205">
        <f t="shared" si="16"/>
        <v>0</v>
      </c>
    </row>
    <row r="121" spans="1:12" ht="15.75" thickBot="1" x14ac:dyDescent="0.3">
      <c r="A121" s="206" t="s">
        <v>144</v>
      </c>
      <c r="B121" s="207">
        <f>SUM(B111:B120)</f>
        <v>0</v>
      </c>
      <c r="C121" s="207">
        <f>IF(B121=0,0,D121/B121*100)</f>
        <v>0</v>
      </c>
      <c r="D121" s="207">
        <f>SUM(D111:D120)</f>
        <v>0</v>
      </c>
      <c r="E121" s="207">
        <f>IF(D121=0,0,(D121-G121)/D121*100)</f>
        <v>0</v>
      </c>
      <c r="F121" s="207">
        <f>SUM(F111:F120)</f>
        <v>0</v>
      </c>
      <c r="G121" s="207">
        <f>SUM(G111:G120)</f>
        <v>0</v>
      </c>
      <c r="H121" s="208">
        <f>SUM(H111:H120)</f>
        <v>0</v>
      </c>
      <c r="I121" s="218">
        <f>IF(D121=0,0,L121/(E86*C121/100)*100)</f>
        <v>0</v>
      </c>
      <c r="J121" s="209">
        <f>SUM(J111:J120)</f>
        <v>0</v>
      </c>
      <c r="K121" s="209">
        <f>SUM(K111:K120)</f>
        <v>0</v>
      </c>
      <c r="L121" s="208">
        <f>SUM(L111:L120)</f>
        <v>0</v>
      </c>
    </row>
    <row r="122" spans="1:12" ht="90" x14ac:dyDescent="0.25">
      <c r="A122" s="210" t="s">
        <v>333</v>
      </c>
      <c r="B122" s="200" t="s">
        <v>368</v>
      </c>
      <c r="C122" s="93" t="s">
        <v>376</v>
      </c>
      <c r="D122" s="211" t="s">
        <v>377</v>
      </c>
      <c r="E122" s="93" t="s">
        <v>469</v>
      </c>
      <c r="F122" s="200" t="s">
        <v>373</v>
      </c>
      <c r="G122" s="200" t="s">
        <v>389</v>
      </c>
      <c r="H122" s="201" t="s">
        <v>390</v>
      </c>
      <c r="I122" s="202" t="s">
        <v>378</v>
      </c>
      <c r="J122" s="200" t="s">
        <v>375</v>
      </c>
      <c r="K122" s="200" t="s">
        <v>374</v>
      </c>
      <c r="L122" s="201" t="s">
        <v>308</v>
      </c>
    </row>
    <row r="123" spans="1:12" x14ac:dyDescent="0.25">
      <c r="A123" s="203" t="s">
        <v>176</v>
      </c>
      <c r="B123" s="237">
        <f>F76</f>
        <v>0</v>
      </c>
      <c r="C123" s="59">
        <v>0</v>
      </c>
      <c r="D123" s="204">
        <f>B123*C123/100</f>
        <v>0</v>
      </c>
      <c r="E123" s="59">
        <v>0</v>
      </c>
      <c r="F123" s="204">
        <f>IF(C123=0, B123, B123-D123)</f>
        <v>0</v>
      </c>
      <c r="G123" s="204">
        <f>IF(C123=0, 0, D123-E123*D123/100)</f>
        <v>0</v>
      </c>
      <c r="H123" s="205">
        <f>D123-G123</f>
        <v>0</v>
      </c>
      <c r="I123" s="197">
        <v>0</v>
      </c>
      <c r="J123" s="204">
        <f>G76-K123-L123</f>
        <v>0</v>
      </c>
      <c r="K123" s="204">
        <f>H76*C123/100-(H76*C123/100*I123/100)</f>
        <v>0</v>
      </c>
      <c r="L123" s="205">
        <f>H76*C123/100*I123/100</f>
        <v>0</v>
      </c>
    </row>
    <row r="124" spans="1:12" x14ac:dyDescent="0.25">
      <c r="A124" s="203" t="s">
        <v>173</v>
      </c>
      <c r="B124" s="237">
        <f>F77</f>
        <v>0</v>
      </c>
      <c r="C124" s="59">
        <v>0</v>
      </c>
      <c r="D124" s="204">
        <f>B124*C124/100</f>
        <v>0</v>
      </c>
      <c r="E124" s="59">
        <v>0</v>
      </c>
      <c r="F124" s="204">
        <f>IF(C124=0, B124, B124-D124)</f>
        <v>0</v>
      </c>
      <c r="G124" s="204">
        <f>IF(C124=0, 0, D124-E124*D124/100)</f>
        <v>0</v>
      </c>
      <c r="H124" s="205">
        <f>D124-G124</f>
        <v>0</v>
      </c>
      <c r="I124" s="197">
        <v>0</v>
      </c>
      <c r="J124" s="204">
        <f>G77-K124-L124</f>
        <v>0</v>
      </c>
      <c r="K124" s="204">
        <f>H77*C124/100-(H77*C124/100*I124/100)</f>
        <v>0</v>
      </c>
      <c r="L124" s="205">
        <f>H77*C124/100*I124/100</f>
        <v>0</v>
      </c>
    </row>
    <row r="125" spans="1:12" x14ac:dyDescent="0.25">
      <c r="A125" s="203" t="s">
        <v>284</v>
      </c>
      <c r="B125" s="237">
        <f>F79</f>
        <v>0</v>
      </c>
      <c r="C125" s="59">
        <v>0</v>
      </c>
      <c r="D125" s="204">
        <f>B125*C125/100</f>
        <v>0</v>
      </c>
      <c r="E125" s="59">
        <v>0</v>
      </c>
      <c r="F125" s="204">
        <f>IF(C125=0, B125, B125-D125)</f>
        <v>0</v>
      </c>
      <c r="G125" s="204">
        <f>IF(C125=0, 0, D125-E125*D125/100)</f>
        <v>0</v>
      </c>
      <c r="H125" s="205">
        <f>D125-G125</f>
        <v>0</v>
      </c>
      <c r="I125" s="197">
        <v>0</v>
      </c>
      <c r="J125" s="204">
        <f>G79-K125-L125</f>
        <v>0</v>
      </c>
      <c r="K125" s="204">
        <f>H79*C125/100-(H79*C125/100*I125/100)</f>
        <v>0</v>
      </c>
      <c r="L125" s="205">
        <f>H79*C125/100*I125/100</f>
        <v>0</v>
      </c>
    </row>
    <row r="126" spans="1:12" ht="15.75" thickBot="1" x14ac:dyDescent="0.3">
      <c r="A126" s="238" t="s">
        <v>144</v>
      </c>
      <c r="B126" s="209">
        <f>SUM(B123:B125)</f>
        <v>0</v>
      </c>
      <c r="C126" s="207">
        <f>IF(B126=0,0,D126/B126*100)</f>
        <v>0</v>
      </c>
      <c r="D126" s="209">
        <f>SUM(D123:D125)</f>
        <v>0</v>
      </c>
      <c r="E126" s="207">
        <f>IF(D126=0,0,(D126-G126)/D126*100)</f>
        <v>0</v>
      </c>
      <c r="F126" s="209">
        <f>SUM(F123:F125)</f>
        <v>0</v>
      </c>
      <c r="G126" s="209">
        <f>SUM(G123:G125)</f>
        <v>0</v>
      </c>
      <c r="H126" s="208">
        <f>SUM(H123:H125)</f>
        <v>0</v>
      </c>
      <c r="I126" s="242">
        <f>IF(H86=0,0,L126/(H86*C126/100)*100)</f>
        <v>0</v>
      </c>
      <c r="J126" s="209">
        <f>SUM(J123:J125)</f>
        <v>0</v>
      </c>
      <c r="K126" s="209">
        <f>SUM(K123:K125)</f>
        <v>0</v>
      </c>
      <c r="L126" s="208">
        <f>SUM(L123:L125)</f>
        <v>0</v>
      </c>
    </row>
    <row r="127" spans="1:12" ht="90" x14ac:dyDescent="0.25">
      <c r="A127" s="210" t="s">
        <v>197</v>
      </c>
      <c r="B127" s="200" t="s">
        <v>370</v>
      </c>
      <c r="C127" s="93" t="s">
        <v>376</v>
      </c>
      <c r="D127" s="211" t="s">
        <v>377</v>
      </c>
      <c r="E127" s="93" t="s">
        <v>469</v>
      </c>
      <c r="F127" s="200" t="s">
        <v>373</v>
      </c>
      <c r="G127" s="200" t="s">
        <v>389</v>
      </c>
      <c r="H127" s="201" t="s">
        <v>390</v>
      </c>
      <c r="I127" s="202" t="s">
        <v>378</v>
      </c>
      <c r="J127" s="200" t="s">
        <v>375</v>
      </c>
      <c r="K127" s="200" t="s">
        <v>374</v>
      </c>
      <c r="L127" s="201" t="s">
        <v>308</v>
      </c>
    </row>
    <row r="128" spans="1:12" x14ac:dyDescent="0.25">
      <c r="A128" s="480" t="s">
        <v>464</v>
      </c>
      <c r="B128" s="259">
        <f>D68</f>
        <v>0</v>
      </c>
      <c r="C128" s="260">
        <v>0</v>
      </c>
      <c r="D128" s="259">
        <f>B128*C128/100</f>
        <v>0</v>
      </c>
      <c r="E128" s="260">
        <v>0</v>
      </c>
      <c r="F128" s="259">
        <f>IF(C128=0, B128, B128-D128)</f>
        <v>0</v>
      </c>
      <c r="G128" s="259">
        <f>IF(C128=0, 0, D128-E128*D128/100)</f>
        <v>0</v>
      </c>
      <c r="H128" s="261">
        <f>D128-G128</f>
        <v>0</v>
      </c>
      <c r="I128" s="262">
        <v>0</v>
      </c>
      <c r="J128" s="259">
        <f>E68-K128-L128</f>
        <v>0</v>
      </c>
      <c r="K128" s="259">
        <f>E68*C128/100-(E68*C128/100*I128/100)</f>
        <v>0</v>
      </c>
      <c r="L128" s="261">
        <f>E68*C128/100*I128/100</f>
        <v>0</v>
      </c>
    </row>
    <row r="129" spans="1:14" s="244" customFormat="1" x14ac:dyDescent="0.25">
      <c r="A129" s="212" t="s">
        <v>319</v>
      </c>
      <c r="B129" s="259">
        <f>C69</f>
        <v>0</v>
      </c>
      <c r="C129" s="260">
        <v>0</v>
      </c>
      <c r="D129" s="259">
        <f>B129*C129/100</f>
        <v>0</v>
      </c>
      <c r="E129" s="260">
        <v>0</v>
      </c>
      <c r="F129" s="259">
        <f>IF(C129=0, B129, B129-D129)</f>
        <v>0</v>
      </c>
      <c r="G129" s="259">
        <f>IF(C129=0, 0, D129-E129*D129/100)</f>
        <v>0</v>
      </c>
      <c r="H129" s="261">
        <f>D129-G129</f>
        <v>0</v>
      </c>
      <c r="I129" s="262">
        <v>0</v>
      </c>
      <c r="J129" s="259">
        <f>E69-K129-L129</f>
        <v>0</v>
      </c>
      <c r="K129" s="259">
        <f>E69*C129/100-(E69*C129/100*I129/100)</f>
        <v>0</v>
      </c>
      <c r="L129" s="261">
        <f>E69*C129/100*I129/100</f>
        <v>0</v>
      </c>
    </row>
    <row r="130" spans="1:14" s="244" customFormat="1" ht="30" x14ac:dyDescent="0.25">
      <c r="A130" s="212" t="s">
        <v>320</v>
      </c>
      <c r="B130" s="259">
        <f>C70</f>
        <v>0</v>
      </c>
      <c r="C130" s="462">
        <v>0</v>
      </c>
      <c r="D130" s="259">
        <f>B130*C130/100</f>
        <v>0</v>
      </c>
      <c r="E130" s="462">
        <v>0</v>
      </c>
      <c r="F130" s="259">
        <f>IF(C130=0, B130, B130-D130)</f>
        <v>0</v>
      </c>
      <c r="G130" s="259">
        <f>IF(C130=0, 0, D130-E130*D130/100)</f>
        <v>0</v>
      </c>
      <c r="H130" s="261">
        <f>D130-G130</f>
        <v>0</v>
      </c>
      <c r="I130" s="463">
        <v>0</v>
      </c>
      <c r="J130" s="259">
        <f>E70-K130-L130</f>
        <v>0</v>
      </c>
      <c r="K130" s="259">
        <f>E70*C130/100-(E70*C130/100*I130/100)</f>
        <v>0</v>
      </c>
      <c r="L130" s="261">
        <f>E70*C130/100*I130/100</f>
        <v>0</v>
      </c>
    </row>
    <row r="131" spans="1:14" s="244" customFormat="1" ht="30" x14ac:dyDescent="0.25">
      <c r="A131" s="212" t="s">
        <v>321</v>
      </c>
      <c r="B131" s="259">
        <f>C71</f>
        <v>0</v>
      </c>
      <c r="C131" s="462">
        <v>0</v>
      </c>
      <c r="D131" s="259">
        <f>B131*C131/100</f>
        <v>0</v>
      </c>
      <c r="E131" s="462">
        <v>0</v>
      </c>
      <c r="F131" s="259">
        <f>IF(C131=0, B131, B131-D131)</f>
        <v>0</v>
      </c>
      <c r="G131" s="259">
        <f>IF(C131=0, 0, D131-E131*D131/100)</f>
        <v>0</v>
      </c>
      <c r="H131" s="261">
        <f>D131-G131</f>
        <v>0</v>
      </c>
      <c r="I131" s="463">
        <v>0</v>
      </c>
      <c r="J131" s="259">
        <f>E71-K131-L131</f>
        <v>0</v>
      </c>
      <c r="K131" s="259">
        <f>E71*C131/100-(E71*C131/100*I131/100)</f>
        <v>0</v>
      </c>
      <c r="L131" s="261">
        <f>E71*C131/100*I131/100</f>
        <v>0</v>
      </c>
    </row>
    <row r="132" spans="1:14" s="244" customFormat="1" ht="15.75" thickBot="1" x14ac:dyDescent="0.3">
      <c r="A132" s="213" t="s">
        <v>144</v>
      </c>
      <c r="B132" s="464">
        <f>SUM(B128:B131)</f>
        <v>0</v>
      </c>
      <c r="C132" s="464">
        <f>IF(B132=0,0,D132/B132*100)</f>
        <v>0</v>
      </c>
      <c r="D132" s="464">
        <f>SUM(D128:D131)</f>
        <v>0</v>
      </c>
      <c r="E132" s="464">
        <f>IF(D132=0,0,(D132-G132)/D132*100)</f>
        <v>0</v>
      </c>
      <c r="F132" s="464">
        <f>SUM(F128:F131)</f>
        <v>0</v>
      </c>
      <c r="G132" s="464">
        <f>SUM(G128:G131)</f>
        <v>0</v>
      </c>
      <c r="H132" s="465">
        <f>SUM(H128:H131)</f>
        <v>0</v>
      </c>
      <c r="I132" s="466">
        <f>IF(E72=0,0,L132/(E72*C132/100)*100)</f>
        <v>0</v>
      </c>
      <c r="J132" s="467">
        <f>SUM(J128:J131)</f>
        <v>0</v>
      </c>
      <c r="K132" s="467">
        <f>SUM(K128:K131)</f>
        <v>0</v>
      </c>
      <c r="L132" s="468">
        <f>SUM(L128:L131)</f>
        <v>0</v>
      </c>
    </row>
    <row r="133" spans="1:14" ht="90" x14ac:dyDescent="0.25">
      <c r="A133" s="210" t="s">
        <v>364</v>
      </c>
      <c r="B133" s="200" t="s">
        <v>381</v>
      </c>
      <c r="C133" s="93" t="s">
        <v>371</v>
      </c>
      <c r="D133" s="200" t="s">
        <v>372</v>
      </c>
      <c r="E133" s="93" t="s">
        <v>469</v>
      </c>
      <c r="F133" s="200" t="s">
        <v>373</v>
      </c>
      <c r="G133" s="200" t="s">
        <v>389</v>
      </c>
      <c r="H133" s="201" t="s">
        <v>390</v>
      </c>
      <c r="I133" s="202" t="s">
        <v>378</v>
      </c>
      <c r="J133" s="200" t="s">
        <v>375</v>
      </c>
      <c r="K133" s="200" t="s">
        <v>374</v>
      </c>
      <c r="L133" s="201" t="s">
        <v>308</v>
      </c>
    </row>
    <row r="134" spans="1:14" s="244" customFormat="1" ht="30" x14ac:dyDescent="0.25">
      <c r="A134" s="263" t="s">
        <v>387</v>
      </c>
      <c r="B134" s="259">
        <f>B90</f>
        <v>0</v>
      </c>
      <c r="C134" s="260">
        <v>0</v>
      </c>
      <c r="D134" s="259">
        <f>B134*C134/100</f>
        <v>0</v>
      </c>
      <c r="E134" s="260">
        <v>0</v>
      </c>
      <c r="F134" s="259">
        <f>IF(C134=0, B134, B134-D134)</f>
        <v>0</v>
      </c>
      <c r="G134" s="259">
        <f>IF(C134=0, 0, D134-E134*D134/100)</f>
        <v>0</v>
      </c>
      <c r="H134" s="261">
        <f>D134-G134</f>
        <v>0</v>
      </c>
      <c r="I134" s="262">
        <v>0</v>
      </c>
      <c r="J134" s="259">
        <f>D90-K134-L134</f>
        <v>0</v>
      </c>
      <c r="K134" s="259">
        <f>D90*C134/100-(D90*C134/100*I134/100)</f>
        <v>0</v>
      </c>
      <c r="L134" s="261">
        <f>D90*C134/100*I134/100</f>
        <v>0</v>
      </c>
    </row>
    <row r="135" spans="1:14" s="244" customFormat="1" x14ac:dyDescent="0.25">
      <c r="A135" s="263" t="s">
        <v>391</v>
      </c>
      <c r="B135" s="259">
        <f>B94</f>
        <v>0</v>
      </c>
      <c r="C135" s="462">
        <v>0</v>
      </c>
      <c r="D135" s="259">
        <f>B135*C135/100</f>
        <v>0</v>
      </c>
      <c r="E135" s="268">
        <v>0</v>
      </c>
      <c r="F135" s="267">
        <f>IF(C135=0, B135, B135-D135)</f>
        <v>0</v>
      </c>
      <c r="G135" s="267">
        <f>IF(C135=0, 0, D135-E135*D135/100)</f>
        <v>0</v>
      </c>
      <c r="H135" s="269">
        <f>D135-G135</f>
        <v>0</v>
      </c>
      <c r="I135" s="270">
        <v>0</v>
      </c>
      <c r="J135" s="259">
        <f>D94-K135-L135</f>
        <v>0</v>
      </c>
      <c r="K135" s="259">
        <f>D94*C135/100-(D94*C135/100*I135/100)</f>
        <v>0</v>
      </c>
      <c r="L135" s="261">
        <f>D94*C135/100*I135/100</f>
        <v>0</v>
      </c>
      <c r="N135" s="327"/>
    </row>
    <row r="136" spans="1:14" ht="30.75" thickBot="1" x14ac:dyDescent="0.3">
      <c r="A136" s="289" t="s">
        <v>388</v>
      </c>
      <c r="B136" s="264">
        <f>C90</f>
        <v>0</v>
      </c>
      <c r="C136" s="292">
        <v>0</v>
      </c>
      <c r="D136" s="264">
        <f>B136*C136/100</f>
        <v>0</v>
      </c>
      <c r="E136" s="292">
        <v>0</v>
      </c>
      <c r="F136" s="264">
        <f>IF(C136=0, B136, B136-D136)</f>
        <v>0</v>
      </c>
      <c r="G136" s="264">
        <f>IF(C136=0, 0, D136-E136*D136/100)</f>
        <v>0</v>
      </c>
      <c r="H136" s="266">
        <f>D136-G136</f>
        <v>0</v>
      </c>
      <c r="I136" s="293">
        <v>0</v>
      </c>
      <c r="J136" s="264">
        <f>E90-K136-L136</f>
        <v>0</v>
      </c>
      <c r="K136" s="264">
        <f>E90*C136/100-(E90*C136/100*I136/100)</f>
        <v>0</v>
      </c>
      <c r="L136" s="266">
        <f>E90*C136/100*I136/100</f>
        <v>0</v>
      </c>
      <c r="M136" s="244"/>
      <c r="N136" s="244"/>
    </row>
    <row r="137" spans="1:14" x14ac:dyDescent="0.25">
      <c r="A137" s="457" t="s">
        <v>450</v>
      </c>
      <c r="B137" s="282"/>
      <c r="C137" s="283"/>
      <c r="D137" s="282"/>
      <c r="E137" s="283"/>
      <c r="F137" s="282"/>
      <c r="G137" s="282"/>
      <c r="H137" s="282"/>
      <c r="I137" s="283"/>
      <c r="J137" s="282"/>
      <c r="K137" s="282"/>
    </row>
    <row r="138" spans="1:14" ht="32.25" customHeight="1" thickBot="1" x14ac:dyDescent="0.3">
      <c r="A138" s="481" t="s">
        <v>454</v>
      </c>
      <c r="B138" s="482"/>
      <c r="C138" s="482"/>
      <c r="D138" s="482"/>
      <c r="E138" s="482"/>
      <c r="F138" s="482"/>
      <c r="G138" s="482"/>
      <c r="H138" s="482"/>
      <c r="I138" s="483"/>
      <c r="J138" s="483"/>
      <c r="K138" s="483"/>
    </row>
    <row r="139" spans="1:14" ht="90" x14ac:dyDescent="0.25">
      <c r="A139" s="199" t="s">
        <v>170</v>
      </c>
      <c r="B139" s="200" t="s">
        <v>334</v>
      </c>
      <c r="C139" s="93" t="s">
        <v>312</v>
      </c>
      <c r="D139" s="200" t="s">
        <v>313</v>
      </c>
      <c r="E139" s="93" t="s">
        <v>310</v>
      </c>
      <c r="F139" s="200" t="s">
        <v>417</v>
      </c>
      <c r="G139" s="200" t="s">
        <v>418</v>
      </c>
      <c r="H139" s="200" t="s">
        <v>392</v>
      </c>
      <c r="I139" s="201" t="s">
        <v>393</v>
      </c>
      <c r="J139" s="202" t="s">
        <v>311</v>
      </c>
      <c r="K139" s="200" t="s">
        <v>308</v>
      </c>
      <c r="L139" s="201" t="s">
        <v>309</v>
      </c>
    </row>
    <row r="140" spans="1:14" x14ac:dyDescent="0.25">
      <c r="A140" s="203" t="s">
        <v>176</v>
      </c>
      <c r="B140" s="204">
        <f t="shared" ref="B140:B149" si="21">IF(C111&gt;0,H99+H111,IF(H99&gt;0,H99,B99))</f>
        <v>0</v>
      </c>
      <c r="C140" s="59">
        <v>0</v>
      </c>
      <c r="D140" s="204">
        <f>B140*C140/100</f>
        <v>0</v>
      </c>
      <c r="E140" s="59">
        <v>0</v>
      </c>
      <c r="F140" s="204">
        <f>IF(C140=0, B140, B140-D140)</f>
        <v>0</v>
      </c>
      <c r="G140" s="204">
        <f t="shared" ref="G140:G149" si="22">IF(B76=0,0,IF(F99=F140,F99,IF(C140&gt;0,IF(C111=0,B140-D140,IF(C140=0,IF(C99&gt;0,B140+F99),F99+F140)),IF(C99=0,B140-D140,IF(C140=0,B140+F99,F99+F140)))))</f>
        <v>0</v>
      </c>
      <c r="H140" s="204">
        <f t="shared" ref="H140:H149" si="23">IF(C140=0, 0, D140-E140*D140/100)</f>
        <v>0</v>
      </c>
      <c r="I140" s="205">
        <f t="shared" ref="I140:I149" si="24">D140-H140</f>
        <v>0</v>
      </c>
      <c r="J140" s="197">
        <v>0</v>
      </c>
      <c r="K140" s="204">
        <f t="shared" ref="K140:K149" si="25">IF(C111&gt;0,L111+L99-L140,IF(C99&gt;0,IF(L99&gt;0,IF(J99&gt;0,L99-L140,D76-L140),IF(I99&gt;0,J99-L140,L99)),J99-L140))</f>
        <v>0</v>
      </c>
      <c r="L140" s="205">
        <f t="shared" ref="L140:L149" si="26">IF(C111&gt;0, (L111+L99)*C140/100*J140/100,IF(L99&gt;0,L99*C140/100*J140/100,J99*C140/100*J140/100))</f>
        <v>0</v>
      </c>
    </row>
    <row r="141" spans="1:14" ht="15" customHeight="1" x14ac:dyDescent="0.25">
      <c r="A141" s="203" t="s">
        <v>173</v>
      </c>
      <c r="B141" s="204">
        <f t="shared" si="21"/>
        <v>0</v>
      </c>
      <c r="C141" s="59">
        <v>0</v>
      </c>
      <c r="D141" s="204">
        <f t="shared" ref="D141:D149" si="27">B141*C141/100</f>
        <v>0</v>
      </c>
      <c r="E141" s="59">
        <v>0</v>
      </c>
      <c r="F141" s="204">
        <f t="shared" ref="F141:F149" si="28">IF(C141=0, B141, B141-D141)</f>
        <v>0</v>
      </c>
      <c r="G141" s="204">
        <f t="shared" si="22"/>
        <v>0</v>
      </c>
      <c r="H141" s="204">
        <f t="shared" si="23"/>
        <v>0</v>
      </c>
      <c r="I141" s="205">
        <f t="shared" si="24"/>
        <v>0</v>
      </c>
      <c r="J141" s="59">
        <v>0</v>
      </c>
      <c r="K141" s="204">
        <f t="shared" si="25"/>
        <v>0</v>
      </c>
      <c r="L141" s="205">
        <f t="shared" si="26"/>
        <v>0</v>
      </c>
      <c r="M141" s="281"/>
    </row>
    <row r="142" spans="1:14" x14ac:dyDescent="0.25">
      <c r="A142" s="203" t="s">
        <v>174</v>
      </c>
      <c r="B142" s="204">
        <f t="shared" si="21"/>
        <v>0</v>
      </c>
      <c r="C142" s="59">
        <v>0</v>
      </c>
      <c r="D142" s="204">
        <f t="shared" si="27"/>
        <v>0</v>
      </c>
      <c r="E142" s="59">
        <v>0</v>
      </c>
      <c r="F142" s="204">
        <f t="shared" si="28"/>
        <v>0</v>
      </c>
      <c r="G142" s="204">
        <f t="shared" si="22"/>
        <v>0</v>
      </c>
      <c r="H142" s="204">
        <f t="shared" si="23"/>
        <v>0</v>
      </c>
      <c r="I142" s="205">
        <f t="shared" si="24"/>
        <v>0</v>
      </c>
      <c r="J142" s="59">
        <v>0</v>
      </c>
      <c r="K142" s="204">
        <f t="shared" si="25"/>
        <v>0</v>
      </c>
      <c r="L142" s="205">
        <f t="shared" si="26"/>
        <v>0</v>
      </c>
    </row>
    <row r="143" spans="1:14" x14ac:dyDescent="0.25">
      <c r="A143" s="203" t="s">
        <v>284</v>
      </c>
      <c r="B143" s="204">
        <f t="shared" si="21"/>
        <v>0</v>
      </c>
      <c r="C143" s="59">
        <v>0</v>
      </c>
      <c r="D143" s="204">
        <f t="shared" si="27"/>
        <v>0</v>
      </c>
      <c r="E143" s="59">
        <v>0</v>
      </c>
      <c r="F143" s="204">
        <f t="shared" si="28"/>
        <v>0</v>
      </c>
      <c r="G143" s="204">
        <f t="shared" si="22"/>
        <v>0</v>
      </c>
      <c r="H143" s="204">
        <f t="shared" si="23"/>
        <v>0</v>
      </c>
      <c r="I143" s="205">
        <f t="shared" si="24"/>
        <v>0</v>
      </c>
      <c r="J143" s="197">
        <v>0</v>
      </c>
      <c r="K143" s="204">
        <f t="shared" si="25"/>
        <v>0</v>
      </c>
      <c r="L143" s="205">
        <f t="shared" si="26"/>
        <v>0</v>
      </c>
    </row>
    <row r="144" spans="1:14" x14ac:dyDescent="0.25">
      <c r="A144" s="203" t="s">
        <v>285</v>
      </c>
      <c r="B144" s="204">
        <f t="shared" si="21"/>
        <v>0</v>
      </c>
      <c r="C144" s="59">
        <v>0</v>
      </c>
      <c r="D144" s="204">
        <f t="shared" si="27"/>
        <v>0</v>
      </c>
      <c r="E144" s="59">
        <v>0</v>
      </c>
      <c r="F144" s="204">
        <f t="shared" si="28"/>
        <v>0</v>
      </c>
      <c r="G144" s="204">
        <f t="shared" si="22"/>
        <v>0</v>
      </c>
      <c r="H144" s="204">
        <f t="shared" si="23"/>
        <v>0</v>
      </c>
      <c r="I144" s="205">
        <f t="shared" si="24"/>
        <v>0</v>
      </c>
      <c r="J144" s="197">
        <v>0</v>
      </c>
      <c r="K144" s="204">
        <f t="shared" si="25"/>
        <v>0</v>
      </c>
      <c r="L144" s="205">
        <f t="shared" si="26"/>
        <v>0</v>
      </c>
    </row>
    <row r="145" spans="1:12" x14ac:dyDescent="0.25">
      <c r="A145" s="203" t="s">
        <v>175</v>
      </c>
      <c r="B145" s="204">
        <f t="shared" si="21"/>
        <v>0</v>
      </c>
      <c r="C145" s="59">
        <v>0</v>
      </c>
      <c r="D145" s="204">
        <f t="shared" si="27"/>
        <v>0</v>
      </c>
      <c r="E145" s="59">
        <v>0</v>
      </c>
      <c r="F145" s="204">
        <f t="shared" si="28"/>
        <v>0</v>
      </c>
      <c r="G145" s="204">
        <f t="shared" si="22"/>
        <v>0</v>
      </c>
      <c r="H145" s="204">
        <f t="shared" si="23"/>
        <v>0</v>
      </c>
      <c r="I145" s="205">
        <f t="shared" si="24"/>
        <v>0</v>
      </c>
      <c r="J145" s="197">
        <v>0</v>
      </c>
      <c r="K145" s="204">
        <f t="shared" si="25"/>
        <v>0</v>
      </c>
      <c r="L145" s="205">
        <f t="shared" si="26"/>
        <v>0</v>
      </c>
    </row>
    <row r="146" spans="1:12" x14ac:dyDescent="0.25">
      <c r="A146" s="203" t="s">
        <v>177</v>
      </c>
      <c r="B146" s="204">
        <f t="shared" si="21"/>
        <v>0</v>
      </c>
      <c r="C146" s="59">
        <v>0</v>
      </c>
      <c r="D146" s="204">
        <f t="shared" si="27"/>
        <v>0</v>
      </c>
      <c r="E146" s="59">
        <v>0</v>
      </c>
      <c r="F146" s="204">
        <f t="shared" si="28"/>
        <v>0</v>
      </c>
      <c r="G146" s="204">
        <f t="shared" si="22"/>
        <v>0</v>
      </c>
      <c r="H146" s="204">
        <f t="shared" si="23"/>
        <v>0</v>
      </c>
      <c r="I146" s="205">
        <f t="shared" si="24"/>
        <v>0</v>
      </c>
      <c r="J146" s="197">
        <v>0</v>
      </c>
      <c r="K146" s="204">
        <f t="shared" si="25"/>
        <v>0</v>
      </c>
      <c r="L146" s="205">
        <f t="shared" si="26"/>
        <v>0</v>
      </c>
    </row>
    <row r="147" spans="1:12" x14ac:dyDescent="0.25">
      <c r="A147" s="203" t="s">
        <v>178</v>
      </c>
      <c r="B147" s="204">
        <f t="shared" si="21"/>
        <v>0</v>
      </c>
      <c r="C147" s="59">
        <v>0</v>
      </c>
      <c r="D147" s="204">
        <f t="shared" si="27"/>
        <v>0</v>
      </c>
      <c r="E147" s="59">
        <v>0</v>
      </c>
      <c r="F147" s="204">
        <f t="shared" si="28"/>
        <v>0</v>
      </c>
      <c r="G147" s="204">
        <f t="shared" si="22"/>
        <v>0</v>
      </c>
      <c r="H147" s="204">
        <f t="shared" si="23"/>
        <v>0</v>
      </c>
      <c r="I147" s="205">
        <f t="shared" si="24"/>
        <v>0</v>
      </c>
      <c r="J147" s="197">
        <v>0</v>
      </c>
      <c r="K147" s="204">
        <f t="shared" si="25"/>
        <v>0</v>
      </c>
      <c r="L147" s="205">
        <f t="shared" si="26"/>
        <v>0</v>
      </c>
    </row>
    <row r="148" spans="1:12" x14ac:dyDescent="0.25">
      <c r="A148" s="203" t="s">
        <v>179</v>
      </c>
      <c r="B148" s="204">
        <f t="shared" si="21"/>
        <v>0</v>
      </c>
      <c r="C148" s="59">
        <v>0</v>
      </c>
      <c r="D148" s="204">
        <f t="shared" si="27"/>
        <v>0</v>
      </c>
      <c r="E148" s="59">
        <v>0</v>
      </c>
      <c r="F148" s="204">
        <f t="shared" si="28"/>
        <v>0</v>
      </c>
      <c r="G148" s="204">
        <f t="shared" si="22"/>
        <v>0</v>
      </c>
      <c r="H148" s="204">
        <f t="shared" si="23"/>
        <v>0</v>
      </c>
      <c r="I148" s="205">
        <f t="shared" si="24"/>
        <v>0</v>
      </c>
      <c r="J148" s="197">
        <v>0</v>
      </c>
      <c r="K148" s="204">
        <f t="shared" si="25"/>
        <v>0</v>
      </c>
      <c r="L148" s="205">
        <f t="shared" si="26"/>
        <v>0</v>
      </c>
    </row>
    <row r="149" spans="1:12" x14ac:dyDescent="0.25">
      <c r="A149" s="203" t="s">
        <v>180</v>
      </c>
      <c r="B149" s="204">
        <f t="shared" si="21"/>
        <v>0</v>
      </c>
      <c r="C149" s="59">
        <v>0</v>
      </c>
      <c r="D149" s="204">
        <f t="shared" si="27"/>
        <v>0</v>
      </c>
      <c r="E149" s="59">
        <v>0</v>
      </c>
      <c r="F149" s="204">
        <f t="shared" si="28"/>
        <v>0</v>
      </c>
      <c r="G149" s="204">
        <f t="shared" si="22"/>
        <v>0</v>
      </c>
      <c r="H149" s="204">
        <f t="shared" si="23"/>
        <v>0</v>
      </c>
      <c r="I149" s="205">
        <f t="shared" si="24"/>
        <v>0</v>
      </c>
      <c r="J149" s="59">
        <v>0</v>
      </c>
      <c r="K149" s="204">
        <f t="shared" si="25"/>
        <v>0</v>
      </c>
      <c r="L149" s="205">
        <f t="shared" si="26"/>
        <v>0</v>
      </c>
    </row>
    <row r="150" spans="1:12" ht="15.75" thickBot="1" x14ac:dyDescent="0.3">
      <c r="A150" s="206" t="s">
        <v>144</v>
      </c>
      <c r="B150" s="207">
        <f>SUM(B140:B149)</f>
        <v>0</v>
      </c>
      <c r="C150" s="207">
        <f>IF(B150=0,0,D150/B150*100)</f>
        <v>0</v>
      </c>
      <c r="D150" s="207">
        <f>SUM(D140:D149)</f>
        <v>0</v>
      </c>
      <c r="E150" s="207">
        <f>IF(D150=0,0,(D150-H150)/D150*100)</f>
        <v>0</v>
      </c>
      <c r="F150" s="207">
        <f>SUM(F140:F149)</f>
        <v>0</v>
      </c>
      <c r="G150" s="207">
        <f>SUM(G140:G149)</f>
        <v>0</v>
      </c>
      <c r="H150" s="207">
        <f>SUM(H140:H149)</f>
        <v>0</v>
      </c>
      <c r="I150" s="208">
        <f>SUM(I140:I149)</f>
        <v>0</v>
      </c>
      <c r="J150" s="218">
        <f>IF(H150=0,0,IF(L109&gt;0,L150/(L109*C150/100)*100,L150/D86*C150/100*100))</f>
        <v>0</v>
      </c>
      <c r="K150" s="209">
        <f>SUM(K140:K149)</f>
        <v>0</v>
      </c>
      <c r="L150" s="208">
        <f>SUM(L140:L149)</f>
        <v>0</v>
      </c>
    </row>
    <row r="151" spans="1:12" ht="90" x14ac:dyDescent="0.25">
      <c r="A151" s="210" t="s">
        <v>333</v>
      </c>
      <c r="B151" s="200" t="s">
        <v>368</v>
      </c>
      <c r="C151" s="93" t="s">
        <v>369</v>
      </c>
      <c r="D151" s="211" t="s">
        <v>325</v>
      </c>
      <c r="E151" s="93" t="s">
        <v>324</v>
      </c>
      <c r="F151" s="200" t="s">
        <v>367</v>
      </c>
      <c r="G151" s="200" t="s">
        <v>418</v>
      </c>
      <c r="H151" s="200" t="s">
        <v>392</v>
      </c>
      <c r="I151" s="201" t="s">
        <v>393</v>
      </c>
      <c r="J151" s="202" t="s">
        <v>311</v>
      </c>
      <c r="K151" s="200" t="s">
        <v>308</v>
      </c>
      <c r="L151" s="201" t="s">
        <v>309</v>
      </c>
    </row>
    <row r="152" spans="1:12" x14ac:dyDescent="0.25">
      <c r="A152" s="203" t="s">
        <v>176</v>
      </c>
      <c r="B152" s="237">
        <f>IF(C123&gt;0,H123,F76)</f>
        <v>0</v>
      </c>
      <c r="C152" s="59">
        <v>0</v>
      </c>
      <c r="D152" s="204">
        <f>B152*C152/100</f>
        <v>0</v>
      </c>
      <c r="E152" s="59">
        <v>0</v>
      </c>
      <c r="F152" s="204">
        <f>IF(C152=0, B152, B152-D152)</f>
        <v>0</v>
      </c>
      <c r="G152" s="204">
        <f>IF(F76=0,0,IF(F123=F152,F123,IF(C152&gt;0,IF(C123=0,B152-D152,IF(C152=0,IF(C123&gt;0,B152+F123),F123+F152)),IF(C123=0,B152-D152,IF(C152=0,B152+F123,F123+F152)))))</f>
        <v>0</v>
      </c>
      <c r="H152" s="204">
        <f>IF(C152=0, 0, D152-E152*D152/100)</f>
        <v>0</v>
      </c>
      <c r="I152" s="205">
        <f>D152-H152</f>
        <v>0</v>
      </c>
      <c r="J152" s="197">
        <v>0</v>
      </c>
      <c r="K152" s="204">
        <f>IF(C123&gt;0,L123-L152,IF(L123&gt;0,IF(J123&gt;0,L123-L152,H76-L152),J123-L152))</f>
        <v>0</v>
      </c>
      <c r="L152" s="205">
        <f>IF(L123&gt;0,L123*C152/100*J152/100,H76*C152/100*J152/100)</f>
        <v>0</v>
      </c>
    </row>
    <row r="153" spans="1:12" x14ac:dyDescent="0.25">
      <c r="A153" s="203" t="s">
        <v>173</v>
      </c>
      <c r="B153" s="237">
        <f>IF(C124&gt;0,H124,F77)</f>
        <v>0</v>
      </c>
      <c r="C153" s="59">
        <v>0</v>
      </c>
      <c r="D153" s="204">
        <f>B153*C153/100</f>
        <v>0</v>
      </c>
      <c r="E153" s="59">
        <v>0</v>
      </c>
      <c r="F153" s="204">
        <f>IF(C153=0, B153, B153-D153)</f>
        <v>0</v>
      </c>
      <c r="G153" s="204">
        <f>IF(F77=0,0,IF(F124=F153,F124,IF(C153&gt;0,IF(C124=0,B153-D153,IF(C153=0,IF(C124&gt;0,B153+F124),F124+F153)),IF(C124=0,B153-D153,IF(C153=0,B153+F124,F124+F153)))))</f>
        <v>0</v>
      </c>
      <c r="H153" s="204">
        <f>IF(C153=0, 0, D153-E153*D153/100)</f>
        <v>0</v>
      </c>
      <c r="I153" s="205">
        <f>D153-H153</f>
        <v>0</v>
      </c>
      <c r="J153" s="197">
        <v>0</v>
      </c>
      <c r="K153" s="204">
        <f>IF(C124&gt;0,L124-L153,IF(L124&gt;0,IF(J124&gt;0,L124-L153,H77-L153),J124-L153))</f>
        <v>0</v>
      </c>
      <c r="L153" s="205">
        <f>IF(L124&gt;0,L124*C153/100*J153/100,H77*C153/100*J153/100)</f>
        <v>0</v>
      </c>
    </row>
    <row r="154" spans="1:12" x14ac:dyDescent="0.25">
      <c r="A154" s="203" t="s">
        <v>284</v>
      </c>
      <c r="B154" s="237">
        <f>IF(C125&gt;0,H125,F79)</f>
        <v>0</v>
      </c>
      <c r="C154" s="59">
        <v>0</v>
      </c>
      <c r="D154" s="204">
        <f>B154*C154/100</f>
        <v>0</v>
      </c>
      <c r="E154" s="59">
        <v>0</v>
      </c>
      <c r="F154" s="204">
        <f>IF(C154=0, B154, B154-D154)</f>
        <v>0</v>
      </c>
      <c r="G154" s="204">
        <f>IF(F79=0,0,IF(F125=F154,F125,IF(C154&gt;0,IF(C125=0,B154-D154,IF(C154=0,IF(C125&gt;0,B154+F125),F125+F154)),IF(C125=0,B154-D154,IF(C154=0,B154+F125,F125+F154)))))</f>
        <v>0</v>
      </c>
      <c r="H154" s="204">
        <f>IF(C154=0, 0, D154-E154*D154/100)</f>
        <v>0</v>
      </c>
      <c r="I154" s="205">
        <f>D154-H154</f>
        <v>0</v>
      </c>
      <c r="J154" s="197">
        <v>0</v>
      </c>
      <c r="K154" s="204">
        <f>IF(C125&gt;0,L125-L154,IF(L125&gt;0,IF(J125&gt;0,L125-L154,H78-L154),J125-L154))</f>
        <v>0</v>
      </c>
      <c r="L154" s="205">
        <f>IF(L125&gt;0,L125*C154/100*J154/100,H79*C154/100*J154/100)</f>
        <v>0</v>
      </c>
    </row>
    <row r="155" spans="1:12" ht="15.75" thickBot="1" x14ac:dyDescent="0.3">
      <c r="A155" s="238" t="s">
        <v>144</v>
      </c>
      <c r="B155" s="209">
        <f>SUM(B152:B154)</f>
        <v>0</v>
      </c>
      <c r="C155" s="207">
        <f>IF(B155=0,0,D155/B155*100)</f>
        <v>0</v>
      </c>
      <c r="D155" s="209">
        <f>SUM(D152:D154)</f>
        <v>0</v>
      </c>
      <c r="E155" s="207">
        <f>IF(D155=0,0,(D155-H155)/D155*100)</f>
        <v>0</v>
      </c>
      <c r="F155" s="209">
        <f>SUM(F152:F154)</f>
        <v>0</v>
      </c>
      <c r="G155" s="209">
        <f>SUM(G152:G154)</f>
        <v>0</v>
      </c>
      <c r="H155" s="209">
        <f>SUM(H152:H154)</f>
        <v>0</v>
      </c>
      <c r="I155" s="208">
        <f>SUM(I152:I154)</f>
        <v>0</v>
      </c>
      <c r="J155" s="242">
        <f>IF(H86=0,0,IF(L126&gt;0,L155/(L126*C155/100)*100,L155/H86*C155/100*100))</f>
        <v>0</v>
      </c>
      <c r="K155" s="209">
        <f>SUM(K152:K154)</f>
        <v>0</v>
      </c>
      <c r="L155" s="208">
        <f>SUM(L152:L154)</f>
        <v>0</v>
      </c>
    </row>
    <row r="156" spans="1:12" ht="75" customHeight="1" x14ac:dyDescent="0.25">
      <c r="A156" s="210" t="s">
        <v>197</v>
      </c>
      <c r="B156" s="200" t="s">
        <v>370</v>
      </c>
      <c r="C156" s="93" t="s">
        <v>369</v>
      </c>
      <c r="D156" s="211" t="s">
        <v>325</v>
      </c>
      <c r="E156" s="93" t="s">
        <v>324</v>
      </c>
      <c r="F156" s="200" t="s">
        <v>367</v>
      </c>
      <c r="G156" s="200" t="s">
        <v>418</v>
      </c>
      <c r="H156" s="200" t="s">
        <v>392</v>
      </c>
      <c r="I156" s="201" t="s">
        <v>393</v>
      </c>
      <c r="J156" s="202" t="s">
        <v>311</v>
      </c>
      <c r="K156" s="200" t="s">
        <v>308</v>
      </c>
      <c r="L156" s="201" t="s">
        <v>309</v>
      </c>
    </row>
    <row r="157" spans="1:12" s="244" customFormat="1" x14ac:dyDescent="0.25">
      <c r="A157" s="212" t="s">
        <v>464</v>
      </c>
      <c r="B157" s="469">
        <f>IF(C128&gt;0,H128,D68)</f>
        <v>0</v>
      </c>
      <c r="C157" s="260">
        <v>0</v>
      </c>
      <c r="D157" s="259">
        <f>B157*C157/100</f>
        <v>0</v>
      </c>
      <c r="E157" s="260">
        <v>0</v>
      </c>
      <c r="F157" s="259">
        <f>IF(C157=0, B157, B157-D157)</f>
        <v>0</v>
      </c>
      <c r="G157" s="259">
        <f>IF(D68=0,0,IF(F128=F157,F128,IF(C157&gt;0,IF(C128=0,B157-D157,IF(C157=0,IF(C128&gt;0,B157+F128),F128+F157)),IF(C128=0,B157-D157,IF(C157=0,B157+F128,F128+F157)))))</f>
        <v>0</v>
      </c>
      <c r="H157" s="259">
        <f>IF(C157=0, 0, D157-E157*D157/100)</f>
        <v>0</v>
      </c>
      <c r="I157" s="261">
        <f>D157-H157</f>
        <v>0</v>
      </c>
      <c r="J157" s="262">
        <v>0</v>
      </c>
      <c r="K157" s="259">
        <f>IF(C128&gt;0,L128-L157,IF(L128&gt;0,IF(J128&gt;0,L128-L157,E68-L157),J128-L157))</f>
        <v>0</v>
      </c>
      <c r="L157" s="261">
        <f>IF(L128&gt;0,L128*C157/100*J157/100,E68*C157/100*J157/100)</f>
        <v>0</v>
      </c>
    </row>
    <row r="158" spans="1:12" s="244" customFormat="1" x14ac:dyDescent="0.25">
      <c r="A158" s="212" t="s">
        <v>319</v>
      </c>
      <c r="B158" s="469">
        <f>IF(C129&gt;0,H129,C69)</f>
        <v>0</v>
      </c>
      <c r="C158" s="260">
        <v>0</v>
      </c>
      <c r="D158" s="259">
        <f>B158*C158/100</f>
        <v>0</v>
      </c>
      <c r="E158" s="260">
        <v>0</v>
      </c>
      <c r="F158" s="259">
        <f>IF(C158=0, B158, B158-D158)</f>
        <v>0</v>
      </c>
      <c r="G158" s="259">
        <f>IF(B69=0,0,IF(F129=F158,F129,IF(C158&gt;0,IF(C129=0,B158-D158,IF(C158=0,IF(C129&gt;0,B158+F129),F129+F158)),IF(C129=0,B158-D158,IF(C158=0,B158+F129,F129+F158)))))</f>
        <v>0</v>
      </c>
      <c r="H158" s="259">
        <f>IF(C158=0, 0, D158-E158*D158/100)</f>
        <v>0</v>
      </c>
      <c r="I158" s="261">
        <f>D158-H158</f>
        <v>0</v>
      </c>
      <c r="J158" s="262">
        <v>0</v>
      </c>
      <c r="K158" s="259">
        <f>IF(C129&gt;0,L129-L158,IF(L129&gt;0,IF(J129&gt;0,L129-L158,E69-L158),J129-L158))</f>
        <v>0</v>
      </c>
      <c r="L158" s="261">
        <f>IF(L129&gt;0,L129*C158/100*J158/100,E69*C158/100*J158/100)</f>
        <v>0</v>
      </c>
    </row>
    <row r="159" spans="1:12" s="244" customFormat="1" ht="30" x14ac:dyDescent="0.25">
      <c r="A159" s="212" t="s">
        <v>320</v>
      </c>
      <c r="B159" s="469">
        <f>IF(C130&gt;0,H130,C70)</f>
        <v>0</v>
      </c>
      <c r="C159" s="462">
        <v>0</v>
      </c>
      <c r="D159" s="259">
        <f>B159*C159/100</f>
        <v>0</v>
      </c>
      <c r="E159" s="462">
        <v>0</v>
      </c>
      <c r="F159" s="259">
        <f>IF(C159=0, B159, B159-D159)</f>
        <v>0</v>
      </c>
      <c r="G159" s="259">
        <f>IF(B70=0,0,IF(F130=F159,F130,IF(C159&gt;0,IF(C130=0,B159-D159,IF(C159=0,IF(C130&gt;0,B159+F130),F130+F159)),IF(C130=0,B159-D159,IF(C159=0,B159+F130,F130+F159)))))</f>
        <v>0</v>
      </c>
      <c r="H159" s="259">
        <f>IF(C159=0, 0, D159-E159*D159/100)</f>
        <v>0</v>
      </c>
      <c r="I159" s="261">
        <f>D159-H159</f>
        <v>0</v>
      </c>
      <c r="J159" s="463">
        <v>0</v>
      </c>
      <c r="K159" s="259">
        <f>IF(C130&gt;0,L130-L159,IF(L130&gt;0,IF(J130&gt;0,L130-L159,E70-L159),J130-L159))</f>
        <v>0</v>
      </c>
      <c r="L159" s="261">
        <f>IF(L130&gt;0,L130*C159/100*J159/100,E70*C159/100*J159/100)</f>
        <v>0</v>
      </c>
    </row>
    <row r="160" spans="1:12" s="244" customFormat="1" ht="30" x14ac:dyDescent="0.25">
      <c r="A160" s="212" t="s">
        <v>321</v>
      </c>
      <c r="B160" s="469">
        <f>IF(C131&gt;0,H131,C71)</f>
        <v>0</v>
      </c>
      <c r="C160" s="462">
        <v>0</v>
      </c>
      <c r="D160" s="259">
        <f>B160*C160/100</f>
        <v>0</v>
      </c>
      <c r="E160" s="462">
        <v>0</v>
      </c>
      <c r="F160" s="259">
        <f>IF(C160=0, B160, B160-D160)</f>
        <v>0</v>
      </c>
      <c r="G160" s="259">
        <f>IF(B71=0,0,IF(F131=F160,F131,IF(C160&gt;0,IF(C131=0,B160-D160,IF(C160=0,IF(C131&gt;0,B160+F131),F131+F160)),IF(C131=0,B160-D160,IF(C160=0,B160+F131,F131+F160)))))</f>
        <v>0</v>
      </c>
      <c r="H160" s="259">
        <f>IF(C160=0, 0, D160-E160*D160/100)</f>
        <v>0</v>
      </c>
      <c r="I160" s="261">
        <f>D160-H160</f>
        <v>0</v>
      </c>
      <c r="J160" s="463">
        <v>0</v>
      </c>
      <c r="K160" s="259">
        <f>IF(C131&gt;0,L131-L160,IF(L131&gt;0,IF(J131&gt;0,L131-L160,E71-L160),J131-L160))</f>
        <v>0</v>
      </c>
      <c r="L160" s="261">
        <f>IF(L131&gt;0,L131*C160/100*J160/100,E71*C160/100*J160/100)</f>
        <v>0</v>
      </c>
    </row>
    <row r="161" spans="1:14" ht="15.75" thickBot="1" x14ac:dyDescent="0.3">
      <c r="A161" s="213" t="s">
        <v>144</v>
      </c>
      <c r="B161" s="207">
        <f>SUM(B157:B160)</f>
        <v>0</v>
      </c>
      <c r="C161" s="207">
        <f>IF(B161=0,0,D161/B161*100)</f>
        <v>0</v>
      </c>
      <c r="D161" s="207">
        <f>SUM(D157:D160)</f>
        <v>0</v>
      </c>
      <c r="E161" s="207">
        <f>IF(D161=0,0,(D161-H161)/D161*100)</f>
        <v>0</v>
      </c>
      <c r="F161" s="207">
        <f>SUM(F157:F160)</f>
        <v>0</v>
      </c>
      <c r="G161" s="207">
        <f>SUM(G157:G160)</f>
        <v>0</v>
      </c>
      <c r="H161" s="207">
        <f>SUM(H157:H160)</f>
        <v>0</v>
      </c>
      <c r="I161" s="219">
        <f>SUM(I157:I160)</f>
        <v>0</v>
      </c>
      <c r="J161" s="220">
        <f>IF(E72=0,0,IF(L132&gt;0,L161/(L132*C161/100)*100,L161/E72*C161/100*100))</f>
        <v>0</v>
      </c>
      <c r="K161" s="221">
        <f>SUM(K157:K160)</f>
        <v>0</v>
      </c>
      <c r="L161" s="222">
        <f>SUM(L157:L160)</f>
        <v>0</v>
      </c>
    </row>
    <row r="162" spans="1:14" ht="90" x14ac:dyDescent="0.25">
      <c r="A162" s="210" t="s">
        <v>364</v>
      </c>
      <c r="B162" s="200" t="s">
        <v>381</v>
      </c>
      <c r="C162" s="93" t="s">
        <v>382</v>
      </c>
      <c r="D162" s="200" t="s">
        <v>383</v>
      </c>
      <c r="E162" s="93" t="s">
        <v>324</v>
      </c>
      <c r="F162" s="200" t="s">
        <v>314</v>
      </c>
      <c r="G162" s="200" t="s">
        <v>418</v>
      </c>
      <c r="H162" s="200" t="s">
        <v>392</v>
      </c>
      <c r="I162" s="201" t="s">
        <v>393</v>
      </c>
      <c r="J162" s="290" t="s">
        <v>311</v>
      </c>
      <c r="K162" s="200" t="s">
        <v>308</v>
      </c>
      <c r="L162" s="201" t="s">
        <v>309</v>
      </c>
    </row>
    <row r="163" spans="1:14" s="244" customFormat="1" ht="30" x14ac:dyDescent="0.25">
      <c r="A163" s="263" t="s">
        <v>387</v>
      </c>
      <c r="B163" s="259">
        <f>IF(C134&gt;0,H134,B90)</f>
        <v>0</v>
      </c>
      <c r="C163" s="260">
        <v>0</v>
      </c>
      <c r="D163" s="259">
        <f>B163*C163/100</f>
        <v>0</v>
      </c>
      <c r="E163" s="260">
        <v>0</v>
      </c>
      <c r="F163" s="259">
        <f>IF(C163=0, B163, B163-D163)</f>
        <v>0</v>
      </c>
      <c r="G163" s="259">
        <f>IF(B90=0,0,IF(F134=F163,F134,IF(C163&gt;0,IF(C134=0,B163-D163,IF(C163=0,IF(C134&gt;0,B163+F134),F134+F163)),IF(C134=0,B163-D163,IF(C163=0,B163+F134,F134+F163)))))</f>
        <v>0</v>
      </c>
      <c r="H163" s="259">
        <f>IF(C163=0, 0, D163-E163*D163/100)</f>
        <v>0</v>
      </c>
      <c r="I163" s="261">
        <f>D163-H163</f>
        <v>0</v>
      </c>
      <c r="J163" s="291">
        <v>0</v>
      </c>
      <c r="K163" s="259">
        <f>IF(C134&gt;0,L134-L163,IF(L134&gt;0,IF(J134&gt;0,L134-L163,D90-L163),J134-L163))</f>
        <v>0</v>
      </c>
      <c r="L163" s="261">
        <f>IF(L134&gt;0,L134*C163/100*J163/100,D90*C163/100*J163/100)</f>
        <v>0</v>
      </c>
    </row>
    <row r="164" spans="1:14" s="244" customFormat="1" ht="15.75" thickBot="1" x14ac:dyDescent="0.3">
      <c r="A164" s="289" t="s">
        <v>391</v>
      </c>
      <c r="B164" s="264">
        <f>IF(C135&gt;0,H135,B94)</f>
        <v>0</v>
      </c>
      <c r="C164" s="265">
        <v>0</v>
      </c>
      <c r="D164" s="264">
        <f>B164*C164/100</f>
        <v>0</v>
      </c>
      <c r="E164" s="265">
        <v>0</v>
      </c>
      <c r="F164" s="264">
        <f>IF(C164=0, B164, B164-D164)</f>
        <v>0</v>
      </c>
      <c r="G164" s="264">
        <f>IF(B94=0,0,IF(F135=F164,F135,IF(C164&gt;0,IF(C135=0,B164-D164,IF(C164=0,IF(C135&gt;0,B164+F135),F135+F164)),IF(C135=0,B164-D164,IF(C164=0,B164+F135,F135+F164)))))</f>
        <v>0</v>
      </c>
      <c r="H164" s="264">
        <f>IF(C164=0, 0, D164-E164*D164/100)</f>
        <v>0</v>
      </c>
      <c r="I164" s="266">
        <f>D164-H164</f>
        <v>0</v>
      </c>
      <c r="J164" s="298">
        <v>0</v>
      </c>
      <c r="K164" s="264">
        <f>IF(C135&gt;0,L135-L164,IF(L135&gt;0,IF(J135&gt;0,L135-L164,D91-L164),J135-L164))</f>
        <v>0</v>
      </c>
      <c r="L164" s="266">
        <f>IF(L135&gt;0,L135*C164/100*J164/100,D94*C164/100*J164/100)</f>
        <v>0</v>
      </c>
    </row>
    <row r="165" spans="1:14" x14ac:dyDescent="0.25">
      <c r="A165" s="457" t="s">
        <v>450</v>
      </c>
      <c r="B165" s="282"/>
      <c r="C165" s="321"/>
      <c r="D165" s="282"/>
      <c r="E165" s="321"/>
      <c r="F165" s="282"/>
      <c r="G165" s="282"/>
      <c r="H165" s="282"/>
      <c r="I165" s="321"/>
      <c r="J165" s="282"/>
      <c r="K165" s="282"/>
    </row>
    <row r="166" spans="1:14" x14ac:dyDescent="0.25">
      <c r="A166" s="457"/>
      <c r="B166" s="282"/>
      <c r="C166" s="321"/>
      <c r="D166" s="282"/>
      <c r="E166" s="321"/>
      <c r="F166" s="282"/>
      <c r="G166" s="282"/>
      <c r="H166" s="282"/>
      <c r="I166" s="321"/>
      <c r="J166" s="282"/>
      <c r="K166" s="282"/>
    </row>
    <row r="167" spans="1:14" ht="15.75" customHeight="1" thickBot="1" x14ac:dyDescent="0.3">
      <c r="A167" s="481" t="s">
        <v>394</v>
      </c>
      <c r="B167" s="481"/>
      <c r="C167" s="481"/>
      <c r="D167" s="481"/>
      <c r="E167" s="481"/>
      <c r="F167" s="481"/>
      <c r="G167" s="481"/>
      <c r="H167" s="481"/>
      <c r="I167" s="481"/>
      <c r="J167" s="481"/>
      <c r="K167" s="481"/>
    </row>
    <row r="168" spans="1:14" ht="41.25" customHeight="1" thickBot="1" x14ac:dyDescent="0.3">
      <c r="A168" s="507" t="s">
        <v>330</v>
      </c>
      <c r="B168" s="543" t="s">
        <v>435</v>
      </c>
      <c r="C168" s="544"/>
      <c r="D168" s="544"/>
      <c r="E168" s="544"/>
      <c r="F168" s="544"/>
      <c r="G168" s="544"/>
      <c r="H168" s="545"/>
      <c r="I168" s="513" t="s">
        <v>436</v>
      </c>
      <c r="J168" s="514"/>
      <c r="K168" s="514"/>
      <c r="L168" s="515"/>
      <c r="M168" s="541" t="s">
        <v>318</v>
      </c>
    </row>
    <row r="169" spans="1:14" ht="60.75" thickBot="1" x14ac:dyDescent="0.3">
      <c r="A169" s="508"/>
      <c r="B169" s="322" t="s">
        <v>317</v>
      </c>
      <c r="C169" s="323" t="s">
        <v>380</v>
      </c>
      <c r="D169" s="323" t="s">
        <v>316</v>
      </c>
      <c r="E169" s="323" t="s">
        <v>419</v>
      </c>
      <c r="F169" s="324" t="s">
        <v>406</v>
      </c>
      <c r="G169" s="323" t="s">
        <v>326</v>
      </c>
      <c r="H169" s="324" t="s">
        <v>327</v>
      </c>
      <c r="I169" s="322" t="s">
        <v>328</v>
      </c>
      <c r="J169" s="323" t="s">
        <v>322</v>
      </c>
      <c r="K169" s="455" t="s">
        <v>329</v>
      </c>
      <c r="L169" s="456" t="s">
        <v>323</v>
      </c>
      <c r="M169" s="542"/>
    </row>
    <row r="170" spans="1:14" x14ac:dyDescent="0.25">
      <c r="A170" s="286" t="s">
        <v>171</v>
      </c>
      <c r="B170" s="287">
        <f>B132</f>
        <v>0</v>
      </c>
      <c r="C170" s="285">
        <f>H132</f>
        <v>0</v>
      </c>
      <c r="D170" s="285">
        <f>H161</f>
        <v>0</v>
      </c>
      <c r="E170" s="285">
        <f>G161</f>
        <v>0</v>
      </c>
      <c r="F170" s="285">
        <f>IF(E72=0,0,IF(F132=F161,K161,(E72/(C72+D72)*F132)+(E72/(C72+D72)*F161)))</f>
        <v>0</v>
      </c>
      <c r="G170" s="285">
        <f>D170+E170</f>
        <v>0</v>
      </c>
      <c r="H170" s="414">
        <f>IF(C132&gt;0,K161+J132,K161)</f>
        <v>0</v>
      </c>
      <c r="I170" s="451" t="s">
        <v>203</v>
      </c>
      <c r="J170" s="452" t="s">
        <v>203</v>
      </c>
      <c r="K170" s="453">
        <f>I161</f>
        <v>0</v>
      </c>
      <c r="L170" s="454">
        <f>L161</f>
        <v>0</v>
      </c>
      <c r="M170" s="424">
        <f>H170+L170</f>
        <v>0</v>
      </c>
    </row>
    <row r="171" spans="1:14" x14ac:dyDescent="0.25">
      <c r="A171" s="223" t="s">
        <v>335</v>
      </c>
      <c r="B171" s="224">
        <f>B126</f>
        <v>0</v>
      </c>
      <c r="C171" s="55">
        <f>H126</f>
        <v>0</v>
      </c>
      <c r="D171" s="55">
        <f>H155</f>
        <v>0</v>
      </c>
      <c r="E171" s="55">
        <f>G155</f>
        <v>0</v>
      </c>
      <c r="F171" s="55">
        <f>IF(H86=0,0, IF(F126=F155, K155,(H86/F86*F126)+(H86/F86*F155)))</f>
        <v>0</v>
      </c>
      <c r="G171" s="55">
        <f t="shared" ref="G171:G181" si="29">D171+E171</f>
        <v>0</v>
      </c>
      <c r="H171" s="415">
        <f>IF(C126&gt;0,K155+J126,K155)</f>
        <v>0</v>
      </c>
      <c r="I171" s="288" t="s">
        <v>203</v>
      </c>
      <c r="J171" s="423" t="s">
        <v>203</v>
      </c>
      <c r="K171" s="284">
        <f>I155</f>
        <v>0</v>
      </c>
      <c r="L171" s="433">
        <f>L155</f>
        <v>0</v>
      </c>
      <c r="M171" s="425">
        <f>H171+L171</f>
        <v>0</v>
      </c>
    </row>
    <row r="172" spans="1:14" x14ac:dyDescent="0.25">
      <c r="A172" s="223" t="s">
        <v>176</v>
      </c>
      <c r="B172" s="224">
        <f t="shared" ref="B172:B181" si="30">B99</f>
        <v>0</v>
      </c>
      <c r="C172" s="55">
        <f t="shared" ref="C172:C181" si="31">H99+H111</f>
        <v>0</v>
      </c>
      <c r="D172" s="55">
        <f t="shared" ref="D172:D181" si="32">H140</f>
        <v>0</v>
      </c>
      <c r="E172" s="55">
        <f t="shared" ref="E172:E181" si="33">G140</f>
        <v>0</v>
      </c>
      <c r="F172" s="55">
        <f>IF(D76=0,0,IF(F99=F140,K140,IF(AND(C99&gt;0,J99&gt;0),J99,(D76/B76*F99+D76/B76*F140))))</f>
        <v>0</v>
      </c>
      <c r="G172" s="55">
        <f t="shared" si="29"/>
        <v>0</v>
      </c>
      <c r="H172" s="415">
        <f t="shared" ref="H172:H181" si="34">IF(C99&gt;0,K140+J99,K140)</f>
        <v>0</v>
      </c>
      <c r="I172" s="224">
        <f t="shared" ref="I172:I180" si="35">C76-D111</f>
        <v>0</v>
      </c>
      <c r="J172" s="55">
        <f t="shared" ref="J172:J180" si="36">E76-L111</f>
        <v>0</v>
      </c>
      <c r="K172" s="55">
        <f t="shared" ref="K172:K181" si="37">I140</f>
        <v>0</v>
      </c>
      <c r="L172" s="56">
        <f t="shared" ref="L172:L181" si="38">L140</f>
        <v>0</v>
      </c>
      <c r="M172" s="425">
        <f>H172+J172+L172</f>
        <v>0</v>
      </c>
    </row>
    <row r="173" spans="1:14" x14ac:dyDescent="0.25">
      <c r="A173" s="223" t="s">
        <v>173</v>
      </c>
      <c r="B173" s="224">
        <f t="shared" si="30"/>
        <v>0</v>
      </c>
      <c r="C173" s="55">
        <f t="shared" si="31"/>
        <v>0</v>
      </c>
      <c r="D173" s="55">
        <f t="shared" si="32"/>
        <v>0</v>
      </c>
      <c r="E173" s="55">
        <f t="shared" si="33"/>
        <v>0</v>
      </c>
      <c r="F173" s="55">
        <f>IF(D77=0,0,IF(F100=F141,K141,IF(AND(C100&gt;0,J100&gt;0),J100,(D77/B77*F100+D77/B77*F141))))</f>
        <v>0</v>
      </c>
      <c r="G173" s="55">
        <f t="shared" si="29"/>
        <v>0</v>
      </c>
      <c r="H173" s="415">
        <f t="shared" si="34"/>
        <v>0</v>
      </c>
      <c r="I173" s="224">
        <f t="shared" si="35"/>
        <v>0</v>
      </c>
      <c r="J173" s="55">
        <f t="shared" si="36"/>
        <v>0</v>
      </c>
      <c r="K173" s="55">
        <f t="shared" si="37"/>
        <v>0</v>
      </c>
      <c r="L173" s="56">
        <f t="shared" si="38"/>
        <v>0</v>
      </c>
      <c r="M173" s="425">
        <f>H173+J173+L173</f>
        <v>0</v>
      </c>
      <c r="N173" s="281"/>
    </row>
    <row r="174" spans="1:14" x14ac:dyDescent="0.25">
      <c r="A174" s="223" t="s">
        <v>174</v>
      </c>
      <c r="B174" s="224">
        <f t="shared" si="30"/>
        <v>0</v>
      </c>
      <c r="C174" s="55">
        <f t="shared" si="31"/>
        <v>0</v>
      </c>
      <c r="D174" s="55">
        <f t="shared" si="32"/>
        <v>0</v>
      </c>
      <c r="E174" s="55">
        <f t="shared" si="33"/>
        <v>0</v>
      </c>
      <c r="F174" s="55">
        <f t="shared" ref="F174:F180" si="39">IF(D78=0,0,IF(F101=F142,K142,IF(AND(C101&gt;0,J101&gt;0),J101,(D78/B78*F101+D78/B78*F142))))</f>
        <v>0</v>
      </c>
      <c r="G174" s="55">
        <f t="shared" si="29"/>
        <v>0</v>
      </c>
      <c r="H174" s="415">
        <f t="shared" si="34"/>
        <v>0</v>
      </c>
      <c r="I174" s="224">
        <f t="shared" si="35"/>
        <v>0</v>
      </c>
      <c r="J174" s="55">
        <f t="shared" si="36"/>
        <v>0</v>
      </c>
      <c r="K174" s="55">
        <f t="shared" si="37"/>
        <v>0</v>
      </c>
      <c r="L174" s="56">
        <f t="shared" si="38"/>
        <v>0</v>
      </c>
      <c r="M174" s="425">
        <f t="shared" ref="M174:M180" si="40">H174+J174+L174</f>
        <v>0</v>
      </c>
    </row>
    <row r="175" spans="1:14" x14ac:dyDescent="0.25">
      <c r="A175" s="223" t="s">
        <v>284</v>
      </c>
      <c r="B175" s="224">
        <f t="shared" si="30"/>
        <v>0</v>
      </c>
      <c r="C175" s="55">
        <f t="shared" si="31"/>
        <v>0</v>
      </c>
      <c r="D175" s="55">
        <f t="shared" si="32"/>
        <v>0</v>
      </c>
      <c r="E175" s="55">
        <f t="shared" si="33"/>
        <v>0</v>
      </c>
      <c r="F175" s="55">
        <f t="shared" si="39"/>
        <v>0</v>
      </c>
      <c r="G175" s="55">
        <f t="shared" si="29"/>
        <v>0</v>
      </c>
      <c r="H175" s="415">
        <f t="shared" si="34"/>
        <v>0</v>
      </c>
      <c r="I175" s="224">
        <f t="shared" si="35"/>
        <v>0</v>
      </c>
      <c r="J175" s="55">
        <f t="shared" si="36"/>
        <v>0</v>
      </c>
      <c r="K175" s="55">
        <f t="shared" si="37"/>
        <v>0</v>
      </c>
      <c r="L175" s="56">
        <f t="shared" si="38"/>
        <v>0</v>
      </c>
      <c r="M175" s="425">
        <f t="shared" si="40"/>
        <v>0</v>
      </c>
    </row>
    <row r="176" spans="1:14" x14ac:dyDescent="0.25">
      <c r="A176" s="223" t="s">
        <v>285</v>
      </c>
      <c r="B176" s="224">
        <f t="shared" si="30"/>
        <v>0</v>
      </c>
      <c r="C176" s="55">
        <f t="shared" si="31"/>
        <v>0</v>
      </c>
      <c r="D176" s="55">
        <f t="shared" si="32"/>
        <v>0</v>
      </c>
      <c r="E176" s="55">
        <f t="shared" si="33"/>
        <v>0</v>
      </c>
      <c r="F176" s="55">
        <f t="shared" si="39"/>
        <v>0</v>
      </c>
      <c r="G176" s="55">
        <f t="shared" si="29"/>
        <v>0</v>
      </c>
      <c r="H176" s="415">
        <f t="shared" si="34"/>
        <v>0</v>
      </c>
      <c r="I176" s="224">
        <f t="shared" si="35"/>
        <v>0</v>
      </c>
      <c r="J176" s="55">
        <f t="shared" si="36"/>
        <v>0</v>
      </c>
      <c r="K176" s="55">
        <f t="shared" si="37"/>
        <v>0</v>
      </c>
      <c r="L176" s="56">
        <f t="shared" si="38"/>
        <v>0</v>
      </c>
      <c r="M176" s="425">
        <f t="shared" si="40"/>
        <v>0</v>
      </c>
    </row>
    <row r="177" spans="1:14" x14ac:dyDescent="0.25">
      <c r="A177" s="223" t="s">
        <v>175</v>
      </c>
      <c r="B177" s="224">
        <f t="shared" si="30"/>
        <v>0</v>
      </c>
      <c r="C177" s="55">
        <f t="shared" si="31"/>
        <v>0</v>
      </c>
      <c r="D177" s="55">
        <f t="shared" si="32"/>
        <v>0</v>
      </c>
      <c r="E177" s="55">
        <f t="shared" si="33"/>
        <v>0</v>
      </c>
      <c r="F177" s="55">
        <f t="shared" si="39"/>
        <v>0</v>
      </c>
      <c r="G177" s="55">
        <f t="shared" si="29"/>
        <v>0</v>
      </c>
      <c r="H177" s="415">
        <f t="shared" si="34"/>
        <v>0</v>
      </c>
      <c r="I177" s="224">
        <f t="shared" si="35"/>
        <v>0</v>
      </c>
      <c r="J177" s="55">
        <f t="shared" si="36"/>
        <v>0</v>
      </c>
      <c r="K177" s="55">
        <f t="shared" si="37"/>
        <v>0</v>
      </c>
      <c r="L177" s="56">
        <f t="shared" si="38"/>
        <v>0</v>
      </c>
      <c r="M177" s="425">
        <f t="shared" si="40"/>
        <v>0</v>
      </c>
    </row>
    <row r="178" spans="1:14" x14ac:dyDescent="0.25">
      <c r="A178" s="223" t="s">
        <v>177</v>
      </c>
      <c r="B178" s="224">
        <f t="shared" si="30"/>
        <v>0</v>
      </c>
      <c r="C178" s="55">
        <f t="shared" si="31"/>
        <v>0</v>
      </c>
      <c r="D178" s="55">
        <f t="shared" si="32"/>
        <v>0</v>
      </c>
      <c r="E178" s="55">
        <f t="shared" si="33"/>
        <v>0</v>
      </c>
      <c r="F178" s="55">
        <f t="shared" si="39"/>
        <v>0</v>
      </c>
      <c r="G178" s="55">
        <f t="shared" si="29"/>
        <v>0</v>
      </c>
      <c r="H178" s="415">
        <f t="shared" si="34"/>
        <v>0</v>
      </c>
      <c r="I178" s="224">
        <f t="shared" si="35"/>
        <v>0</v>
      </c>
      <c r="J178" s="55">
        <f t="shared" si="36"/>
        <v>0</v>
      </c>
      <c r="K178" s="55">
        <f t="shared" si="37"/>
        <v>0</v>
      </c>
      <c r="L178" s="56">
        <f t="shared" si="38"/>
        <v>0</v>
      </c>
      <c r="M178" s="425">
        <f t="shared" si="40"/>
        <v>0</v>
      </c>
    </row>
    <row r="179" spans="1:14" x14ac:dyDescent="0.25">
      <c r="A179" s="223" t="s">
        <v>178</v>
      </c>
      <c r="B179" s="224">
        <f t="shared" si="30"/>
        <v>0</v>
      </c>
      <c r="C179" s="55">
        <f t="shared" si="31"/>
        <v>0</v>
      </c>
      <c r="D179" s="55">
        <f t="shared" si="32"/>
        <v>0</v>
      </c>
      <c r="E179" s="55">
        <f t="shared" si="33"/>
        <v>0</v>
      </c>
      <c r="F179" s="55">
        <f t="shared" si="39"/>
        <v>0</v>
      </c>
      <c r="G179" s="55">
        <f t="shared" si="29"/>
        <v>0</v>
      </c>
      <c r="H179" s="415">
        <f t="shared" si="34"/>
        <v>0</v>
      </c>
      <c r="I179" s="224">
        <f t="shared" si="35"/>
        <v>0</v>
      </c>
      <c r="J179" s="55">
        <f t="shared" si="36"/>
        <v>0</v>
      </c>
      <c r="K179" s="55">
        <f t="shared" si="37"/>
        <v>0</v>
      </c>
      <c r="L179" s="56">
        <f t="shared" si="38"/>
        <v>0</v>
      </c>
      <c r="M179" s="425">
        <f t="shared" si="40"/>
        <v>0</v>
      </c>
    </row>
    <row r="180" spans="1:14" x14ac:dyDescent="0.25">
      <c r="A180" s="223" t="s">
        <v>179</v>
      </c>
      <c r="B180" s="224">
        <f t="shared" si="30"/>
        <v>0</v>
      </c>
      <c r="C180" s="55">
        <f t="shared" si="31"/>
        <v>0</v>
      </c>
      <c r="D180" s="55">
        <f t="shared" si="32"/>
        <v>0</v>
      </c>
      <c r="E180" s="55">
        <f t="shared" si="33"/>
        <v>0</v>
      </c>
      <c r="F180" s="55">
        <f t="shared" si="39"/>
        <v>0</v>
      </c>
      <c r="G180" s="55">
        <f t="shared" si="29"/>
        <v>0</v>
      </c>
      <c r="H180" s="415">
        <f t="shared" si="34"/>
        <v>0</v>
      </c>
      <c r="I180" s="224">
        <f t="shared" si="35"/>
        <v>0</v>
      </c>
      <c r="J180" s="55">
        <f t="shared" si="36"/>
        <v>0</v>
      </c>
      <c r="K180" s="55">
        <f t="shared" si="37"/>
        <v>0</v>
      </c>
      <c r="L180" s="56">
        <f t="shared" si="38"/>
        <v>0</v>
      </c>
      <c r="M180" s="425">
        <f t="shared" si="40"/>
        <v>0</v>
      </c>
    </row>
    <row r="181" spans="1:14" ht="15.75" thickBot="1" x14ac:dyDescent="0.3">
      <c r="A181" s="225" t="s">
        <v>180</v>
      </c>
      <c r="B181" s="226">
        <f t="shared" si="30"/>
        <v>0</v>
      </c>
      <c r="C181" s="55">
        <f t="shared" si="31"/>
        <v>0</v>
      </c>
      <c r="D181" s="227">
        <f t="shared" si="32"/>
        <v>0</v>
      </c>
      <c r="E181" s="55">
        <f t="shared" si="33"/>
        <v>0</v>
      </c>
      <c r="F181" s="55">
        <f>IF(D85=0,0,IF(F108=F149,K149,IF(AND(C108&gt;0,J108&gt;0),J108,(D85/B85*F108+D85/B85*F149))))</f>
        <v>0</v>
      </c>
      <c r="G181" s="227">
        <f t="shared" si="29"/>
        <v>0</v>
      </c>
      <c r="H181" s="415">
        <f t="shared" si="34"/>
        <v>0</v>
      </c>
      <c r="I181" s="435">
        <f>C85</f>
        <v>0</v>
      </c>
      <c r="J181" s="436">
        <f>E85</f>
        <v>0</v>
      </c>
      <c r="K181" s="437">
        <f t="shared" si="37"/>
        <v>0</v>
      </c>
      <c r="L181" s="438">
        <f t="shared" si="38"/>
        <v>0</v>
      </c>
      <c r="M181" s="426">
        <f>H181+J181+L181</f>
        <v>0</v>
      </c>
    </row>
    <row r="182" spans="1:14" ht="45.75" thickBot="1" x14ac:dyDescent="0.3">
      <c r="A182" s="311" t="s">
        <v>437</v>
      </c>
      <c r="B182" s="312">
        <f t="shared" ref="B182:M182" si="41">SUM(B170:B181)</f>
        <v>0</v>
      </c>
      <c r="C182" s="309">
        <f t="shared" si="41"/>
        <v>0</v>
      </c>
      <c r="D182" s="339">
        <f t="shared" si="41"/>
        <v>0</v>
      </c>
      <c r="E182" s="309">
        <f t="shared" si="41"/>
        <v>0</v>
      </c>
      <c r="F182" s="309">
        <f t="shared" si="41"/>
        <v>0</v>
      </c>
      <c r="G182" s="339">
        <f t="shared" si="41"/>
        <v>0</v>
      </c>
      <c r="H182" s="416">
        <f t="shared" si="41"/>
        <v>0</v>
      </c>
      <c r="I182" s="312">
        <f t="shared" si="41"/>
        <v>0</v>
      </c>
      <c r="J182" s="309">
        <f t="shared" si="41"/>
        <v>0</v>
      </c>
      <c r="K182" s="339">
        <f t="shared" si="41"/>
        <v>0</v>
      </c>
      <c r="L182" s="310">
        <f t="shared" si="41"/>
        <v>0</v>
      </c>
      <c r="M182" s="427">
        <f t="shared" si="41"/>
        <v>0</v>
      </c>
    </row>
    <row r="183" spans="1:14" ht="42.75" customHeight="1" x14ac:dyDescent="0.25">
      <c r="A183" s="359" t="s">
        <v>438</v>
      </c>
      <c r="B183" s="304">
        <f>B134</f>
        <v>0</v>
      </c>
      <c r="C183" s="305">
        <f>H134</f>
        <v>0</v>
      </c>
      <c r="D183" s="305">
        <f>H163</f>
        <v>0</v>
      </c>
      <c r="E183" s="305">
        <f>G163</f>
        <v>0</v>
      </c>
      <c r="F183" s="305">
        <f>IF(D90=0,0,(D90/B90*F134+D90/B90*F163)/2)</f>
        <v>0</v>
      </c>
      <c r="G183" s="305">
        <f>D183+E183</f>
        <v>0</v>
      </c>
      <c r="H183" s="417">
        <f>IF(C134&gt;0,K163+J134,K163)</f>
        <v>0</v>
      </c>
      <c r="I183" s="304">
        <f>F136</f>
        <v>0</v>
      </c>
      <c r="J183" s="305">
        <f>J136</f>
        <v>0</v>
      </c>
      <c r="K183" s="305">
        <f>I163</f>
        <v>0</v>
      </c>
      <c r="L183" s="306">
        <f>L163</f>
        <v>0</v>
      </c>
      <c r="M183" s="428">
        <f>H183+J183+L183</f>
        <v>0</v>
      </c>
    </row>
    <row r="184" spans="1:14" ht="30" x14ac:dyDescent="0.25">
      <c r="A184" s="353" t="s">
        <v>470</v>
      </c>
      <c r="B184" s="354">
        <f>B91</f>
        <v>0</v>
      </c>
      <c r="C184" s="352" t="s">
        <v>203</v>
      </c>
      <c r="D184" s="352" t="s">
        <v>203</v>
      </c>
      <c r="E184" s="352" t="s">
        <v>203</v>
      </c>
      <c r="F184" s="352" t="s">
        <v>203</v>
      </c>
      <c r="G184" s="179">
        <f>B184</f>
        <v>0</v>
      </c>
      <c r="H184" s="418">
        <f>D91</f>
        <v>0</v>
      </c>
      <c r="I184" s="354">
        <f>C91</f>
        <v>0</v>
      </c>
      <c r="J184" s="179">
        <f>E91</f>
        <v>0</v>
      </c>
      <c r="K184" s="352" t="s">
        <v>203</v>
      </c>
      <c r="L184" s="434" t="s">
        <v>203</v>
      </c>
      <c r="M184" s="429">
        <f>H184+J184</f>
        <v>0</v>
      </c>
      <c r="N184" s="281"/>
    </row>
    <row r="185" spans="1:14" ht="31.5" customHeight="1" thickBot="1" x14ac:dyDescent="0.3">
      <c r="A185" s="360" t="s">
        <v>424</v>
      </c>
      <c r="B185" s="350" t="s">
        <v>203</v>
      </c>
      <c r="C185" s="330" t="s">
        <v>203</v>
      </c>
      <c r="D185" s="330" t="s">
        <v>203</v>
      </c>
      <c r="E185" s="330" t="s">
        <v>203</v>
      </c>
      <c r="F185" s="330" t="s">
        <v>203</v>
      </c>
      <c r="G185" s="351" t="s">
        <v>203</v>
      </c>
      <c r="H185" s="419" t="s">
        <v>203</v>
      </c>
      <c r="I185" s="350" t="s">
        <v>203</v>
      </c>
      <c r="J185" s="351" t="s">
        <v>203</v>
      </c>
      <c r="K185" s="330" t="s">
        <v>203</v>
      </c>
      <c r="L185" s="439" t="s">
        <v>203</v>
      </c>
      <c r="M185" s="430">
        <f>F90</f>
        <v>0</v>
      </c>
    </row>
    <row r="186" spans="1:14" ht="28.5" customHeight="1" thickBot="1" x14ac:dyDescent="0.3">
      <c r="A186" s="347" t="s">
        <v>391</v>
      </c>
      <c r="B186" s="348">
        <f>B135</f>
        <v>0</v>
      </c>
      <c r="C186" s="349">
        <f>H135</f>
        <v>0</v>
      </c>
      <c r="D186" s="349">
        <f>H164</f>
        <v>0</v>
      </c>
      <c r="E186" s="349">
        <f>G164</f>
        <v>0</v>
      </c>
      <c r="F186" s="349">
        <f>IF(D94=0,0,(D94/B94*F135+D94/B94*F164))</f>
        <v>0</v>
      </c>
      <c r="G186" s="349">
        <f>D186+E186</f>
        <v>0</v>
      </c>
      <c r="H186" s="420">
        <f>IF(C135&gt;0,K164+J135,K164)</f>
        <v>0</v>
      </c>
      <c r="I186" s="444" t="s">
        <v>203</v>
      </c>
      <c r="J186" s="445" t="s">
        <v>203</v>
      </c>
      <c r="K186" s="446">
        <f>I164</f>
        <v>0</v>
      </c>
      <c r="L186" s="447">
        <f>L164</f>
        <v>0</v>
      </c>
      <c r="M186" s="431">
        <f>H186+L186</f>
        <v>0</v>
      </c>
    </row>
    <row r="187" spans="1:14" ht="15" customHeight="1" x14ac:dyDescent="0.25">
      <c r="A187" s="499" t="s">
        <v>471</v>
      </c>
      <c r="B187" s="333">
        <f>B92+B93</f>
        <v>0</v>
      </c>
      <c r="C187" s="329" t="s">
        <v>203</v>
      </c>
      <c r="D187" s="329" t="s">
        <v>203</v>
      </c>
      <c r="E187" s="329" t="s">
        <v>203</v>
      </c>
      <c r="F187" s="329" t="s">
        <v>203</v>
      </c>
      <c r="G187" s="328">
        <f>B187</f>
        <v>0</v>
      </c>
      <c r="H187" s="421">
        <f>D92+D93</f>
        <v>0</v>
      </c>
      <c r="I187" s="440">
        <f>C92+C93</f>
        <v>0</v>
      </c>
      <c r="J187" s="441">
        <f>E92+E93</f>
        <v>0</v>
      </c>
      <c r="K187" s="442" t="s">
        <v>203</v>
      </c>
      <c r="L187" s="443" t="s">
        <v>203</v>
      </c>
      <c r="M187" s="428">
        <f>J187+H187</f>
        <v>0</v>
      </c>
    </row>
    <row r="188" spans="1:14" ht="15.75" thickBot="1" x14ac:dyDescent="0.3">
      <c r="A188" s="500"/>
      <c r="B188" s="448" t="s">
        <v>203</v>
      </c>
      <c r="C188" s="449" t="s">
        <v>203</v>
      </c>
      <c r="D188" s="449" t="s">
        <v>203</v>
      </c>
      <c r="E188" s="449" t="s">
        <v>203</v>
      </c>
      <c r="F188" s="449" t="s">
        <v>203</v>
      </c>
      <c r="G188" s="449" t="s">
        <v>203</v>
      </c>
      <c r="H188" s="470" t="s">
        <v>203</v>
      </c>
      <c r="I188" s="448" t="s">
        <v>203</v>
      </c>
      <c r="J188" s="449" t="s">
        <v>203</v>
      </c>
      <c r="K188" s="449" t="s">
        <v>203</v>
      </c>
      <c r="L188" s="450" t="s">
        <v>203</v>
      </c>
      <c r="M188" s="471">
        <f>F92</f>
        <v>0</v>
      </c>
      <c r="N188" s="281"/>
    </row>
    <row r="189" spans="1:14" ht="30.75" thickBot="1" x14ac:dyDescent="0.3">
      <c r="A189" s="472" t="s">
        <v>457</v>
      </c>
      <c r="B189" s="444" t="s">
        <v>203</v>
      </c>
      <c r="C189" s="473" t="s">
        <v>203</v>
      </c>
      <c r="D189" s="473" t="s">
        <v>203</v>
      </c>
      <c r="E189" s="473" t="s">
        <v>203</v>
      </c>
      <c r="F189" s="473" t="s">
        <v>203</v>
      </c>
      <c r="G189" s="445" t="s">
        <v>203</v>
      </c>
      <c r="H189" s="474" t="s">
        <v>203</v>
      </c>
      <c r="I189" s="444" t="s">
        <v>203</v>
      </c>
      <c r="J189" s="445" t="s">
        <v>203</v>
      </c>
      <c r="K189" s="473" t="s">
        <v>203</v>
      </c>
      <c r="L189" s="475" t="s">
        <v>203</v>
      </c>
      <c r="M189" s="476">
        <f>K109+K121+K126+K132+K134+K136</f>
        <v>0</v>
      </c>
      <c r="N189" s="281"/>
    </row>
    <row r="190" spans="1:14" ht="75.75" thickBot="1" x14ac:dyDescent="0.3">
      <c r="A190" s="337" t="s">
        <v>439</v>
      </c>
      <c r="B190" s="338">
        <f>SUM(B182:B187)-B187-B184</f>
        <v>0</v>
      </c>
      <c r="C190" s="307">
        <f>SUM(C182:C187)</f>
        <v>0</v>
      </c>
      <c r="D190" s="307">
        <f>SUM(D182:D187)</f>
        <v>0</v>
      </c>
      <c r="E190" s="307">
        <f>SUM(E182:E187)</f>
        <v>0</v>
      </c>
      <c r="F190" s="307">
        <f>SUM(F182:F187)</f>
        <v>0</v>
      </c>
      <c r="G190" s="343">
        <f>G182+G183+G184-G187</f>
        <v>0</v>
      </c>
      <c r="H190" s="422">
        <f>H182+H183+H184-H187</f>
        <v>0</v>
      </c>
      <c r="I190" s="344">
        <f>SUM(I182:I187)-I187-I184</f>
        <v>0</v>
      </c>
      <c r="J190" s="343">
        <f>SUM(J182:J187)-J187</f>
        <v>0</v>
      </c>
      <c r="K190" s="343">
        <f>SUM(K182:K187)</f>
        <v>0</v>
      </c>
      <c r="L190" s="308">
        <f>SUM(L182:L187)-L186</f>
        <v>0</v>
      </c>
      <c r="M190" s="432">
        <f>M182+M183+M185-M188</f>
        <v>0</v>
      </c>
      <c r="N190" s="281"/>
    </row>
    <row r="191" spans="1:14" x14ac:dyDescent="0.25">
      <c r="A191" s="562" t="s">
        <v>472</v>
      </c>
      <c r="B191" s="563"/>
      <c r="C191" s="563"/>
      <c r="D191" s="563"/>
      <c r="E191" s="563"/>
      <c r="F191" s="563"/>
      <c r="G191" s="563"/>
      <c r="H191" s="563"/>
      <c r="I191" s="563"/>
      <c r="J191" s="563"/>
      <c r="K191" s="563"/>
      <c r="L191" s="563"/>
      <c r="M191" s="563"/>
      <c r="N191" s="281"/>
    </row>
    <row r="192" spans="1:14" x14ac:dyDescent="0.25">
      <c r="A192" s="457" t="s">
        <v>450</v>
      </c>
      <c r="G192" s="281"/>
      <c r="I192" s="281"/>
      <c r="K192" s="281"/>
      <c r="M192" s="281"/>
    </row>
    <row r="193" spans="13:14" x14ac:dyDescent="0.25">
      <c r="M193" s="281"/>
    </row>
    <row r="195" spans="13:14" x14ac:dyDescent="0.25">
      <c r="N195" s="281"/>
    </row>
  </sheetData>
  <sheetProtection sheet="1" objects="1" scenarios="1"/>
  <mergeCells count="73">
    <mergeCell ref="A3:L3"/>
    <mergeCell ref="A4:L4"/>
    <mergeCell ref="A5:L5"/>
    <mergeCell ref="A191:M191"/>
    <mergeCell ref="L40:M43"/>
    <mergeCell ref="A97:K97"/>
    <mergeCell ref="A138:K138"/>
    <mergeCell ref="A74:F74"/>
    <mergeCell ref="L44:M44"/>
    <mergeCell ref="L45:M45"/>
    <mergeCell ref="C50:C51"/>
    <mergeCell ref="A63:K63"/>
    <mergeCell ref="A49:A51"/>
    <mergeCell ref="D49:D51"/>
    <mergeCell ref="J40:J43"/>
    <mergeCell ref="K40:K43"/>
    <mergeCell ref="K49:K51"/>
    <mergeCell ref="M168:M169"/>
    <mergeCell ref="B168:H168"/>
    <mergeCell ref="A9:D9"/>
    <mergeCell ref="E9:J9"/>
    <mergeCell ref="A23:G23"/>
    <mergeCell ref="A26:G26"/>
    <mergeCell ref="A13:H13"/>
    <mergeCell ref="A15:H15"/>
    <mergeCell ref="I14:J14"/>
    <mergeCell ref="E10:J10"/>
    <mergeCell ref="A11:D11"/>
    <mergeCell ref="E11:J11"/>
    <mergeCell ref="A10:D10"/>
    <mergeCell ref="I38:I39"/>
    <mergeCell ref="A32:B32"/>
    <mergeCell ref="A8:K8"/>
    <mergeCell ref="A7:K7"/>
    <mergeCell ref="A6:L6"/>
    <mergeCell ref="A1:L1"/>
    <mergeCell ref="A22:G22"/>
    <mergeCell ref="F16:I16"/>
    <mergeCell ref="A19:G19"/>
    <mergeCell ref="A20:G20"/>
    <mergeCell ref="A21:G21"/>
    <mergeCell ref="A18:G18"/>
    <mergeCell ref="I13:J13"/>
    <mergeCell ref="A14:H14"/>
    <mergeCell ref="A16:D16"/>
    <mergeCell ref="A12:D12"/>
    <mergeCell ref="E12:J12"/>
    <mergeCell ref="I15:J15"/>
    <mergeCell ref="A187:A188"/>
    <mergeCell ref="B50:B51"/>
    <mergeCell ref="G38:H38"/>
    <mergeCell ref="E50:G50"/>
    <mergeCell ref="A24:G24"/>
    <mergeCell ref="A48:K48"/>
    <mergeCell ref="A168:A169"/>
    <mergeCell ref="A167:K167"/>
    <mergeCell ref="F38:F39"/>
    <mergeCell ref="A38:A39"/>
    <mergeCell ref="B38:B39"/>
    <mergeCell ref="I168:L168"/>
    <mergeCell ref="F90:F91"/>
    <mergeCell ref="F92:F93"/>
    <mergeCell ref="D38:D39"/>
    <mergeCell ref="A25:G25"/>
    <mergeCell ref="A37:J37"/>
    <mergeCell ref="A66:D66"/>
    <mergeCell ref="A29:B29"/>
    <mergeCell ref="C38:C39"/>
    <mergeCell ref="B49:C49"/>
    <mergeCell ref="E38:E39"/>
    <mergeCell ref="J49:J51"/>
    <mergeCell ref="E49:I49"/>
    <mergeCell ref="H50:I50"/>
  </mergeCells>
  <phoneticPr fontId="7" type="noConversion"/>
  <hyperlinks>
    <hyperlink ref="A18" location="Quadro_Riassuntivo!A34" display="TABELLA 1: QUADRO RIASSUNTIVO AZIENDALE DEI DATI INSERITI" xr:uid="{00000000-0004-0000-0000-000000000000}"/>
    <hyperlink ref="A19" location="Quadro_Riassuntivo!A42" display="TABELLA 2: CALCOLO DELLA CAPACITA' DI STOCCAGGIO E VERIFICA DI CONFORMITA' IN BASE AL TIPO DI LIQUAME PRODOTTO" xr:uid="{00000000-0004-0000-0000-000001000000}"/>
    <hyperlink ref="A20" location="Quadro_Riassuntivo!A60" display="TABELLA 3: CAPACITA' DI STOCCAGGIO: CALCOLO MESI MINIMI NECESSARI" xr:uid="{00000000-0004-0000-0000-000002000000}"/>
    <hyperlink ref="A21" location="Quadro_Riassuntivo!A67" display="TABELLA 4: ACQUE METEORICHE AGGIUNTIVE: CALCOLO" xr:uid="{00000000-0004-0000-0000-000003000000}"/>
    <hyperlink ref="A22" location="Quadro_Riassuntivo!A81" display="TABELLA 5: REFLUI PRODOTTI E AZOTO TOTALE" xr:uid="{00000000-0004-0000-0000-000004000000}"/>
    <hyperlink ref="A23" location="Quadro_Riassuntivo!A87" display="TABELLA 6: ACQUISIZIONI, CESSIONI E PRODOTTI AGGIUNTIVI COINVOLTI NELLO STOCCAGGIO DEGLI EFFLUENTI DI ALLEVAMENTO " xr:uid="{00000000-0004-0000-0000-000005000000}"/>
    <hyperlink ref="A24" location="Quadro_Riassuntivo!A101" display="TABELLA 7: IMPIANTI DI TRATTAMENTO ANAEROBICO CON RECUPERO DI BIOGAS" xr:uid="{00000000-0004-0000-0000-000006000000}"/>
    <hyperlink ref="A25" location="Quadro_Riassuntivo!A129" display="TABELLA 8: SEPARAZIONE SOLIDO LIQUIDO" xr:uid="{00000000-0004-0000-0000-000007000000}"/>
    <hyperlink ref="A26" location="Quadro_Riassuntivo!A158" display="TABELLA 9: SINTESI TRATTAMENTO ANAEROBICO CON RECUPERO DI BIOGAS E/O SEPARAZIONE SOLIDO LIQUIDO: " xr:uid="{00000000-0004-0000-0000-000008000000}"/>
    <hyperlink ref="A24:G24" location="Quadro_Riassuntivo!A105" display="TABELLA 7: IMPIANTI DI TRATTAMENTO ANAEROBICO CON RECUPERO DI BIOGAS" xr:uid="{00000000-0004-0000-0000-000009000000}"/>
    <hyperlink ref="A19:G19" location="Quadro_Riassuntivo!A46" display="TABELLA 2: CALCOLO DELLA CAPACITA' DI STOCCAGGIO E VERIFICA DI CONFORMITA' IN BASE AL TIPO DI LIQUAME PRODOTTO" xr:uid="{00000000-0004-0000-0000-00000A000000}"/>
    <hyperlink ref="A20:G20" location="Quadro_Riassuntivo!A63" display="TABELLA 3: CAPACITA' DI STOCCAGGIO: CALCOLO MESI MINIMI NECESSARI" xr:uid="{00000000-0004-0000-0000-00000B000000}"/>
    <hyperlink ref="A21:G21" location="Quadro_Riassuntivo!A70" display="TABELLA 4: ACQUE METEORICHE AGGIUNTIVE: CALCOLO" xr:uid="{00000000-0004-0000-0000-00000C000000}"/>
    <hyperlink ref="A22:G22" location="Quadro_Riassuntivo!A83" display="TABELLA 5: REFLUI PRODOTTI E AZOTO TOTALE" xr:uid="{00000000-0004-0000-0000-00000D000000}"/>
    <hyperlink ref="A23:G23" location="Quadro_Riassuntivo!A91" display="TABELLA 6: ACQUISIZIONI, CESSIONI E PRODOTTI AGGIUNTIVI COINVOLTI NELLO STOCCAGGIO DEGLI EFFLUENTI DI ALLEVAMENTO " xr:uid="{00000000-0004-0000-0000-00000E000000}"/>
    <hyperlink ref="A18:G18" location="Quadro_Riassuntivo!A35" display="TABELLA 1: QUADRO RIASSUNTIVO AZIENDALE DEI DATI INSERITI" xr:uid="{00000000-0004-0000-0000-00000F000000}"/>
    <hyperlink ref="A25:G25" location="Quadro_Riassuntivo!A145" display="TABELLA 8: SEPARAZIONE SOLIDO LIQUIDO" xr:uid="{00000000-0004-0000-0000-000010000000}"/>
    <hyperlink ref="A26:G26" location="Quadro_Riassuntivo!A174" display="TABELLA 9: SINTESI TRATTAMENTO ANAEROBICO CON RECUPERO DI BIOGAS E/O SEPARAZIONE SOLIDO LIQUIDO: " xr:uid="{00000000-0004-0000-0000-000011000000}"/>
    <hyperlink ref="A35" location="Quadro_Riassuntivo!A18" display="Torna in alto" xr:uid="{00000000-0004-0000-0000-000012000000}"/>
    <hyperlink ref="A46" location="Quadro_Riassuntivo!A18" display="Torna in alto" xr:uid="{00000000-0004-0000-0000-000013000000}"/>
    <hyperlink ref="A64" location="Quadro_Riassuntivo!A18" display="Torna in alto" xr:uid="{00000000-0004-0000-0000-000014000000}"/>
    <hyperlink ref="A73" location="Quadro_Riassuntivo!A18" display="Torna in alto" xr:uid="{00000000-0004-0000-0000-000015000000}"/>
    <hyperlink ref="A87" location="Quadro_Riassuntivo!A18" display="Torna in alto" xr:uid="{00000000-0004-0000-0000-000016000000}"/>
    <hyperlink ref="A95" location="Quadro_Riassuntivo!A18" display="Torna in alto" xr:uid="{00000000-0004-0000-0000-000017000000}"/>
    <hyperlink ref="A165" location="Quadro_Riassuntivo!A18" display="Torna in alto" xr:uid="{00000000-0004-0000-0000-000018000000}"/>
    <hyperlink ref="A192" location="Quadro_Riassuntivo!A18" display="Torna in alto" xr:uid="{00000000-0004-0000-0000-000019000000}"/>
    <hyperlink ref="A137" location="Quadro_Riassuntivo!A18" display="Torna in alto" xr:uid="{00000000-0004-0000-0000-00001A000000}"/>
  </hyperlinks>
  <pageMargins left="0.27559055118110237" right="0.15748031496062992" top="0.39370078740157483" bottom="0.39370078740157483" header="0.35433070866141736" footer="0.23622047244094491"/>
  <pageSetup paperSize="9" scale="71" orientation="landscape" r:id="rId1"/>
  <headerFooter alignWithMargins="0"/>
  <rowBreaks count="6" manualBreakCount="6">
    <brk id="27" max="16383" man="1"/>
    <brk id="65" max="16383" man="1"/>
    <brk id="95" max="16383" man="1"/>
    <brk id="126" max="16383" man="1"/>
    <brk id="137" max="16383" man="1"/>
    <brk id="1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9"/>
  <dimension ref="A1:AB17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11.7109375" style="10" customWidth="1"/>
    <col min="2" max="2" width="18.7109375" style="10" bestFit="1" customWidth="1"/>
    <col min="3" max="3" width="37.5703125" style="10" customWidth="1"/>
    <col min="4" max="4" width="9.140625" style="10" customWidth="1"/>
    <col min="5" max="5" width="8.42578125" style="10" customWidth="1"/>
    <col min="6" max="6" width="9.140625" style="10" customWidth="1"/>
    <col min="7" max="14" width="8.85546875" style="10" hidden="1" customWidth="1"/>
    <col min="15" max="15" width="9.140625" style="10" hidden="1" customWidth="1"/>
    <col min="16" max="16" width="9.140625" style="10" customWidth="1"/>
    <col min="17" max="20" width="10.28515625" style="10" customWidth="1"/>
    <col min="21" max="21" width="10.7109375" style="10" customWidth="1"/>
    <col min="22" max="22" width="10.28515625" style="10" customWidth="1"/>
    <col min="23" max="23" width="9.85546875" style="10" customWidth="1"/>
    <col min="24" max="26" width="9.140625" style="10" hidden="1" customWidth="1"/>
    <col min="27" max="16384" width="9.140625" style="10"/>
  </cols>
  <sheetData>
    <row r="1" spans="1:28" x14ac:dyDescent="0.25">
      <c r="A1" s="9" t="s">
        <v>213</v>
      </c>
    </row>
    <row r="2" spans="1:28" x14ac:dyDescent="0.25">
      <c r="A2" s="4" t="s">
        <v>146</v>
      </c>
    </row>
    <row r="3" spans="1:28" x14ac:dyDescent="0.25">
      <c r="A3" s="4" t="s">
        <v>169</v>
      </c>
    </row>
    <row r="4" spans="1:28" x14ac:dyDescent="0.25">
      <c r="A4" s="15" t="s">
        <v>149</v>
      </c>
    </row>
    <row r="5" spans="1:28" x14ac:dyDescent="0.25">
      <c r="A5" s="190" t="s">
        <v>448</v>
      </c>
    </row>
    <row r="7" spans="1:28" s="73" customFormat="1" ht="84" customHeight="1" x14ac:dyDescent="0.2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297</v>
      </c>
      <c r="H7" s="1" t="s">
        <v>294</v>
      </c>
      <c r="I7" s="1" t="s">
        <v>295</v>
      </c>
      <c r="J7" s="1" t="s">
        <v>296</v>
      </c>
      <c r="K7" s="1" t="s">
        <v>298</v>
      </c>
      <c r="L7" s="1" t="s">
        <v>299</v>
      </c>
      <c r="M7" s="1" t="s">
        <v>300</v>
      </c>
      <c r="N7" s="1" t="s">
        <v>301</v>
      </c>
      <c r="O7" s="1" t="s">
        <v>302</v>
      </c>
      <c r="P7" s="1" t="s">
        <v>165</v>
      </c>
      <c r="Q7" s="68" t="s">
        <v>147</v>
      </c>
      <c r="R7" s="68" t="s">
        <v>148</v>
      </c>
      <c r="S7" s="68" t="s">
        <v>274</v>
      </c>
      <c r="T7" s="68" t="s">
        <v>275</v>
      </c>
      <c r="U7" s="68" t="s">
        <v>306</v>
      </c>
      <c r="V7" s="68" t="s">
        <v>425</v>
      </c>
      <c r="W7" s="68" t="s">
        <v>416</v>
      </c>
      <c r="X7" s="68" t="s">
        <v>225</v>
      </c>
      <c r="Y7" s="68" t="s">
        <v>226</v>
      </c>
      <c r="Z7" s="68" t="s">
        <v>265</v>
      </c>
      <c r="AA7" s="68" t="s">
        <v>266</v>
      </c>
      <c r="AB7" s="68" t="s">
        <v>268</v>
      </c>
    </row>
    <row r="8" spans="1:28" x14ac:dyDescent="0.25">
      <c r="A8" s="85" t="s">
        <v>114</v>
      </c>
      <c r="B8" s="85" t="s">
        <v>115</v>
      </c>
      <c r="C8" s="85" t="s">
        <v>110</v>
      </c>
      <c r="D8" s="111"/>
      <c r="E8" s="111"/>
      <c r="F8" s="85">
        <v>15</v>
      </c>
      <c r="G8" s="85">
        <v>16</v>
      </c>
      <c r="H8" s="85">
        <v>99</v>
      </c>
      <c r="I8" s="85">
        <v>43.8</v>
      </c>
      <c r="J8" s="85">
        <v>117</v>
      </c>
      <c r="K8" s="85"/>
      <c r="L8" s="85"/>
      <c r="M8" s="85"/>
      <c r="N8" s="85"/>
      <c r="O8" s="85">
        <f>L8+H8</f>
        <v>99</v>
      </c>
      <c r="P8" s="50">
        <f t="shared" ref="P8:P16" si="0">IF(E8="SI", D8*F8/1000*K8, 0)</f>
        <v>0</v>
      </c>
      <c r="Q8" s="70">
        <f t="shared" ref="Q8:Q16" si="1">(D8*F8/1000*G8)+P8</f>
        <v>0</v>
      </c>
      <c r="R8" s="70">
        <f t="shared" ref="R8:R16" si="2">(D8*F8/1000*K8)-P8</f>
        <v>0</v>
      </c>
      <c r="S8" s="70">
        <f t="shared" ref="S8:S16" si="3">IF(P8=0,H8*D8*F8/1000,((H8*D8*F8/1000)+(L8*D8*F8/1000)))</f>
        <v>0</v>
      </c>
      <c r="T8" s="70">
        <f t="shared" ref="T8:T16" si="4">IF(P8=0, L8*D8*F8/1000, 0)</f>
        <v>0</v>
      </c>
      <c r="U8" s="70">
        <f>D8*F8/1000</f>
        <v>0</v>
      </c>
      <c r="V8" s="70">
        <f>D8*F8*I8/1000+D8*F8*M8/1000</f>
        <v>0</v>
      </c>
      <c r="W8" s="70">
        <f>D8*F8*J8/1000+D8*F8*N8/1000</f>
        <v>0</v>
      </c>
      <c r="X8" s="85"/>
      <c r="Y8" s="85">
        <v>0.15</v>
      </c>
      <c r="Z8" s="85">
        <v>0.15</v>
      </c>
      <c r="AA8" s="86">
        <f t="shared" ref="AA8:AA16" si="5">Y8*D8</f>
        <v>0</v>
      </c>
      <c r="AB8" s="86">
        <f t="shared" ref="AB8:AB16" si="6">Z8*D8</f>
        <v>0</v>
      </c>
    </row>
    <row r="9" spans="1:28" ht="21" x14ac:dyDescent="0.25">
      <c r="A9" s="85" t="s">
        <v>114</v>
      </c>
      <c r="B9" s="85" t="s">
        <v>115</v>
      </c>
      <c r="C9" s="85" t="s">
        <v>141</v>
      </c>
      <c r="D9" s="111"/>
      <c r="E9" s="111"/>
      <c r="F9" s="85">
        <v>15</v>
      </c>
      <c r="G9" s="85"/>
      <c r="H9" s="85"/>
      <c r="I9" s="85"/>
      <c r="J9" s="85"/>
      <c r="K9" s="85">
        <v>31.4</v>
      </c>
      <c r="L9" s="85">
        <v>99</v>
      </c>
      <c r="M9" s="85">
        <v>43.8</v>
      </c>
      <c r="N9" s="85">
        <v>117</v>
      </c>
      <c r="O9" s="85">
        <f t="shared" ref="O9:O16" si="7">L9+H9</f>
        <v>99</v>
      </c>
      <c r="P9" s="50">
        <f t="shared" si="0"/>
        <v>0</v>
      </c>
      <c r="Q9" s="70">
        <f t="shared" si="1"/>
        <v>0</v>
      </c>
      <c r="R9" s="70">
        <f t="shared" si="2"/>
        <v>0</v>
      </c>
      <c r="S9" s="70">
        <f t="shared" si="3"/>
        <v>0</v>
      </c>
      <c r="T9" s="70">
        <f t="shared" si="4"/>
        <v>0</v>
      </c>
      <c r="U9" s="70">
        <f t="shared" ref="U9:U16" si="8">D9*F9/1000</f>
        <v>0</v>
      </c>
      <c r="V9" s="70">
        <f t="shared" ref="V9:V16" si="9">D9*F9*I9/1000+D9*F9*M9/1000</f>
        <v>0</v>
      </c>
      <c r="W9" s="70">
        <f t="shared" ref="W9:W16" si="10">D9*F9*J9/1000+D9*F9*N9/1000</f>
        <v>0</v>
      </c>
      <c r="X9" s="85"/>
      <c r="Y9" s="85">
        <v>0.15</v>
      </c>
      <c r="Z9" s="85">
        <v>0.15</v>
      </c>
      <c r="AA9" s="86">
        <f t="shared" si="5"/>
        <v>0</v>
      </c>
      <c r="AB9" s="86">
        <f t="shared" si="6"/>
        <v>0</v>
      </c>
    </row>
    <row r="10" spans="1:28" ht="21" x14ac:dyDescent="0.25">
      <c r="A10" s="85" t="s">
        <v>114</v>
      </c>
      <c r="B10" s="85" t="s">
        <v>115</v>
      </c>
      <c r="C10" s="85" t="s">
        <v>109</v>
      </c>
      <c r="D10" s="111"/>
      <c r="E10" s="111"/>
      <c r="F10" s="85">
        <v>15</v>
      </c>
      <c r="G10" s="85">
        <v>7</v>
      </c>
      <c r="H10" s="85">
        <v>44</v>
      </c>
      <c r="I10" s="85">
        <v>9.8000000000000007</v>
      </c>
      <c r="J10" s="85">
        <v>26.1</v>
      </c>
      <c r="K10" s="85">
        <v>24.4</v>
      </c>
      <c r="L10" s="85">
        <v>55</v>
      </c>
      <c r="M10" s="85">
        <v>34</v>
      </c>
      <c r="N10" s="85">
        <v>90.9</v>
      </c>
      <c r="O10" s="85">
        <f t="shared" si="7"/>
        <v>99</v>
      </c>
      <c r="P10" s="50">
        <f t="shared" si="0"/>
        <v>0</v>
      </c>
      <c r="Q10" s="70">
        <f t="shared" si="1"/>
        <v>0</v>
      </c>
      <c r="R10" s="70">
        <f t="shared" si="2"/>
        <v>0</v>
      </c>
      <c r="S10" s="70">
        <f t="shared" si="3"/>
        <v>0</v>
      </c>
      <c r="T10" s="70">
        <f t="shared" si="4"/>
        <v>0</v>
      </c>
      <c r="U10" s="70">
        <f t="shared" si="8"/>
        <v>0</v>
      </c>
      <c r="V10" s="70">
        <f t="shared" si="9"/>
        <v>0</v>
      </c>
      <c r="W10" s="70">
        <f t="shared" si="10"/>
        <v>0</v>
      </c>
      <c r="X10" s="85"/>
      <c r="Y10" s="85">
        <v>0.15</v>
      </c>
      <c r="Z10" s="85">
        <v>0.15</v>
      </c>
      <c r="AA10" s="86">
        <f t="shared" si="5"/>
        <v>0</v>
      </c>
      <c r="AB10" s="86">
        <f t="shared" si="6"/>
        <v>0</v>
      </c>
    </row>
    <row r="11" spans="1:28" ht="21" x14ac:dyDescent="0.25">
      <c r="A11" s="85" t="s">
        <v>114</v>
      </c>
      <c r="B11" s="85" t="s">
        <v>116</v>
      </c>
      <c r="C11" s="85" t="s">
        <v>109</v>
      </c>
      <c r="D11" s="111"/>
      <c r="E11" s="111"/>
      <c r="F11" s="85">
        <v>35</v>
      </c>
      <c r="G11" s="85">
        <v>7</v>
      </c>
      <c r="H11" s="85">
        <v>44</v>
      </c>
      <c r="I11" s="85">
        <v>9.8000000000000007</v>
      </c>
      <c r="J11" s="85">
        <v>26.1</v>
      </c>
      <c r="K11" s="85">
        <v>24.4</v>
      </c>
      <c r="L11" s="85">
        <v>55</v>
      </c>
      <c r="M11" s="85">
        <v>34</v>
      </c>
      <c r="N11" s="85">
        <v>90.9</v>
      </c>
      <c r="O11" s="85">
        <f t="shared" si="7"/>
        <v>99</v>
      </c>
      <c r="P11" s="50">
        <f t="shared" si="0"/>
        <v>0</v>
      </c>
      <c r="Q11" s="70">
        <f t="shared" si="1"/>
        <v>0</v>
      </c>
      <c r="R11" s="70">
        <f t="shared" si="2"/>
        <v>0</v>
      </c>
      <c r="S11" s="70">
        <f t="shared" si="3"/>
        <v>0</v>
      </c>
      <c r="T11" s="70">
        <f t="shared" si="4"/>
        <v>0</v>
      </c>
      <c r="U11" s="70">
        <f t="shared" si="8"/>
        <v>0</v>
      </c>
      <c r="V11" s="70">
        <f t="shared" si="9"/>
        <v>0</v>
      </c>
      <c r="W11" s="70">
        <f t="shared" si="10"/>
        <v>0</v>
      </c>
      <c r="X11" s="85"/>
      <c r="Y11" s="85">
        <v>0.15</v>
      </c>
      <c r="Z11" s="85">
        <v>0.15</v>
      </c>
      <c r="AA11" s="86">
        <f t="shared" si="5"/>
        <v>0</v>
      </c>
      <c r="AB11" s="86">
        <f t="shared" si="6"/>
        <v>0</v>
      </c>
    </row>
    <row r="12" spans="1:28" ht="21" x14ac:dyDescent="0.25">
      <c r="A12" s="85" t="s">
        <v>114</v>
      </c>
      <c r="B12" s="85" t="s">
        <v>116</v>
      </c>
      <c r="C12" s="85" t="s">
        <v>141</v>
      </c>
      <c r="D12" s="111"/>
      <c r="E12" s="111"/>
      <c r="F12" s="85">
        <v>35</v>
      </c>
      <c r="G12" s="85"/>
      <c r="H12" s="85"/>
      <c r="I12" s="85"/>
      <c r="J12" s="85"/>
      <c r="K12" s="85">
        <v>31.4</v>
      </c>
      <c r="L12" s="85">
        <v>99</v>
      </c>
      <c r="M12" s="85">
        <v>43.8</v>
      </c>
      <c r="N12" s="85">
        <v>117</v>
      </c>
      <c r="O12" s="85">
        <f t="shared" si="7"/>
        <v>99</v>
      </c>
      <c r="P12" s="50">
        <f t="shared" si="0"/>
        <v>0</v>
      </c>
      <c r="Q12" s="70">
        <f t="shared" si="1"/>
        <v>0</v>
      </c>
      <c r="R12" s="70">
        <f t="shared" si="2"/>
        <v>0</v>
      </c>
      <c r="S12" s="70">
        <f t="shared" si="3"/>
        <v>0</v>
      </c>
      <c r="T12" s="70">
        <f t="shared" si="4"/>
        <v>0</v>
      </c>
      <c r="U12" s="70">
        <f t="shared" si="8"/>
        <v>0</v>
      </c>
      <c r="V12" s="70">
        <f t="shared" si="9"/>
        <v>0</v>
      </c>
      <c r="W12" s="70">
        <f t="shared" si="10"/>
        <v>0</v>
      </c>
      <c r="X12" s="85"/>
      <c r="Y12" s="85">
        <v>0.15</v>
      </c>
      <c r="Z12" s="85">
        <v>0.15</v>
      </c>
      <c r="AA12" s="86">
        <f t="shared" si="5"/>
        <v>0</v>
      </c>
      <c r="AB12" s="86">
        <f t="shared" si="6"/>
        <v>0</v>
      </c>
    </row>
    <row r="13" spans="1:28" x14ac:dyDescent="0.25">
      <c r="A13" s="85" t="s">
        <v>114</v>
      </c>
      <c r="B13" s="85" t="s">
        <v>116</v>
      </c>
      <c r="C13" s="85" t="s">
        <v>110</v>
      </c>
      <c r="D13" s="111"/>
      <c r="E13" s="111"/>
      <c r="F13" s="85">
        <v>35</v>
      </c>
      <c r="G13" s="85">
        <v>16</v>
      </c>
      <c r="H13" s="85">
        <v>99</v>
      </c>
      <c r="I13" s="85">
        <v>43.8</v>
      </c>
      <c r="J13" s="85">
        <v>117</v>
      </c>
      <c r="K13" s="85"/>
      <c r="L13" s="85"/>
      <c r="M13" s="85"/>
      <c r="N13" s="85"/>
      <c r="O13" s="85">
        <f t="shared" si="7"/>
        <v>99</v>
      </c>
      <c r="P13" s="50">
        <f t="shared" si="0"/>
        <v>0</v>
      </c>
      <c r="Q13" s="70">
        <f t="shared" si="1"/>
        <v>0</v>
      </c>
      <c r="R13" s="70">
        <f t="shared" si="2"/>
        <v>0</v>
      </c>
      <c r="S13" s="70">
        <f t="shared" si="3"/>
        <v>0</v>
      </c>
      <c r="T13" s="70">
        <f t="shared" si="4"/>
        <v>0</v>
      </c>
      <c r="U13" s="70">
        <f t="shared" si="8"/>
        <v>0</v>
      </c>
      <c r="V13" s="70">
        <f t="shared" si="9"/>
        <v>0</v>
      </c>
      <c r="W13" s="70">
        <f t="shared" si="10"/>
        <v>0</v>
      </c>
      <c r="X13" s="85"/>
      <c r="Y13" s="85">
        <v>0.15</v>
      </c>
      <c r="Z13" s="85">
        <v>0.15</v>
      </c>
      <c r="AA13" s="86">
        <f t="shared" si="5"/>
        <v>0</v>
      </c>
      <c r="AB13" s="86">
        <f t="shared" si="6"/>
        <v>0</v>
      </c>
    </row>
    <row r="14" spans="1:28" ht="21" x14ac:dyDescent="0.25">
      <c r="A14" s="85" t="s">
        <v>117</v>
      </c>
      <c r="B14" s="85" t="s">
        <v>118</v>
      </c>
      <c r="C14" s="85" t="s">
        <v>141</v>
      </c>
      <c r="D14" s="111"/>
      <c r="E14" s="111"/>
      <c r="F14" s="85">
        <v>50</v>
      </c>
      <c r="G14" s="85"/>
      <c r="H14" s="85"/>
      <c r="I14" s="85"/>
      <c r="J14" s="85"/>
      <c r="K14" s="85">
        <v>31.4</v>
      </c>
      <c r="L14" s="85">
        <v>99</v>
      </c>
      <c r="M14" s="85">
        <v>43.8</v>
      </c>
      <c r="N14" s="85">
        <v>117</v>
      </c>
      <c r="O14" s="85">
        <f t="shared" si="7"/>
        <v>99</v>
      </c>
      <c r="P14" s="50">
        <f t="shared" si="0"/>
        <v>0</v>
      </c>
      <c r="Q14" s="70">
        <f t="shared" si="1"/>
        <v>0</v>
      </c>
      <c r="R14" s="70">
        <f t="shared" si="2"/>
        <v>0</v>
      </c>
      <c r="S14" s="70">
        <f t="shared" si="3"/>
        <v>0</v>
      </c>
      <c r="T14" s="70">
        <f t="shared" si="4"/>
        <v>0</v>
      </c>
      <c r="U14" s="70">
        <f t="shared" si="8"/>
        <v>0</v>
      </c>
      <c r="V14" s="70">
        <f t="shared" si="9"/>
        <v>0</v>
      </c>
      <c r="W14" s="70">
        <f t="shared" si="10"/>
        <v>0</v>
      </c>
      <c r="X14" s="85"/>
      <c r="Y14" s="85">
        <v>0.15</v>
      </c>
      <c r="Z14" s="85">
        <v>0.15</v>
      </c>
      <c r="AA14" s="86">
        <f t="shared" si="5"/>
        <v>0</v>
      </c>
      <c r="AB14" s="86">
        <f t="shared" si="6"/>
        <v>0</v>
      </c>
    </row>
    <row r="15" spans="1:28" ht="21" x14ac:dyDescent="0.25">
      <c r="A15" s="85" t="s">
        <v>117</v>
      </c>
      <c r="B15" s="85" t="s">
        <v>118</v>
      </c>
      <c r="C15" s="85" t="s">
        <v>109</v>
      </c>
      <c r="D15" s="111"/>
      <c r="E15" s="111"/>
      <c r="F15" s="85">
        <v>50</v>
      </c>
      <c r="G15" s="85">
        <v>7</v>
      </c>
      <c r="H15" s="85">
        <v>44</v>
      </c>
      <c r="I15" s="85">
        <v>9.8000000000000007</v>
      </c>
      <c r="J15" s="85">
        <v>26.1</v>
      </c>
      <c r="K15" s="85">
        <v>24.4</v>
      </c>
      <c r="L15" s="85">
        <v>55</v>
      </c>
      <c r="M15" s="85">
        <v>34</v>
      </c>
      <c r="N15" s="85">
        <v>90.9</v>
      </c>
      <c r="O15" s="85">
        <f t="shared" si="7"/>
        <v>99</v>
      </c>
      <c r="P15" s="50">
        <f t="shared" si="0"/>
        <v>0</v>
      </c>
      <c r="Q15" s="70">
        <f t="shared" si="1"/>
        <v>0</v>
      </c>
      <c r="R15" s="70">
        <f t="shared" si="2"/>
        <v>0</v>
      </c>
      <c r="S15" s="70">
        <f t="shared" si="3"/>
        <v>0</v>
      </c>
      <c r="T15" s="70">
        <f t="shared" si="4"/>
        <v>0</v>
      </c>
      <c r="U15" s="70">
        <f t="shared" si="8"/>
        <v>0</v>
      </c>
      <c r="V15" s="70">
        <f t="shared" si="9"/>
        <v>0</v>
      </c>
      <c r="W15" s="70">
        <f t="shared" si="10"/>
        <v>0</v>
      </c>
      <c r="X15" s="85"/>
      <c r="Y15" s="85">
        <v>0.15</v>
      </c>
      <c r="Z15" s="85">
        <v>0.15</v>
      </c>
      <c r="AA15" s="86">
        <f t="shared" si="5"/>
        <v>0</v>
      </c>
      <c r="AB15" s="86">
        <f t="shared" si="6"/>
        <v>0</v>
      </c>
    </row>
    <row r="16" spans="1:28" x14ac:dyDescent="0.25">
      <c r="A16" s="85" t="s">
        <v>117</v>
      </c>
      <c r="B16" s="85" t="s">
        <v>118</v>
      </c>
      <c r="C16" s="85" t="s">
        <v>110</v>
      </c>
      <c r="D16" s="111"/>
      <c r="E16" s="111"/>
      <c r="F16" s="85">
        <v>50</v>
      </c>
      <c r="G16" s="85">
        <v>16</v>
      </c>
      <c r="H16" s="85">
        <v>99</v>
      </c>
      <c r="I16" s="85">
        <v>43.8</v>
      </c>
      <c r="J16" s="85">
        <v>117</v>
      </c>
      <c r="K16" s="85"/>
      <c r="L16" s="85"/>
      <c r="M16" s="85"/>
      <c r="N16" s="85"/>
      <c r="O16" s="85">
        <f t="shared" si="7"/>
        <v>99</v>
      </c>
      <c r="P16" s="50">
        <f t="shared" si="0"/>
        <v>0</v>
      </c>
      <c r="Q16" s="70">
        <f t="shared" si="1"/>
        <v>0</v>
      </c>
      <c r="R16" s="70">
        <f t="shared" si="2"/>
        <v>0</v>
      </c>
      <c r="S16" s="70">
        <f t="shared" si="3"/>
        <v>0</v>
      </c>
      <c r="T16" s="70">
        <f t="shared" si="4"/>
        <v>0</v>
      </c>
      <c r="U16" s="70">
        <f t="shared" si="8"/>
        <v>0</v>
      </c>
      <c r="V16" s="70">
        <f t="shared" si="9"/>
        <v>0</v>
      </c>
      <c r="W16" s="70">
        <f t="shared" si="10"/>
        <v>0</v>
      </c>
      <c r="X16" s="85"/>
      <c r="Y16" s="85">
        <v>0.15</v>
      </c>
      <c r="Z16" s="85">
        <v>0.15</v>
      </c>
      <c r="AA16" s="86">
        <f t="shared" si="5"/>
        <v>0</v>
      </c>
      <c r="AB16" s="86">
        <f t="shared" si="6"/>
        <v>0</v>
      </c>
    </row>
    <row r="17" spans="1:28" s="51" customFormat="1" x14ac:dyDescent="0.25">
      <c r="A17" s="117" t="s">
        <v>144</v>
      </c>
      <c r="B17" s="109"/>
      <c r="C17" s="109"/>
      <c r="D17" s="118">
        <f>SUM(D8:D16)</f>
        <v>0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9">
        <f t="shared" ref="P17:W17" si="11">SUM(P8:P16)</f>
        <v>0</v>
      </c>
      <c r="Q17" s="119">
        <f t="shared" si="11"/>
        <v>0</v>
      </c>
      <c r="R17" s="119">
        <f t="shared" si="11"/>
        <v>0</v>
      </c>
      <c r="S17" s="119">
        <f t="shared" si="11"/>
        <v>0</v>
      </c>
      <c r="T17" s="119">
        <f t="shared" si="11"/>
        <v>0</v>
      </c>
      <c r="U17" s="119">
        <f t="shared" si="11"/>
        <v>0</v>
      </c>
      <c r="V17" s="119">
        <f t="shared" si="11"/>
        <v>0</v>
      </c>
      <c r="W17" s="119">
        <f t="shared" si="11"/>
        <v>0</v>
      </c>
      <c r="X17" s="120"/>
      <c r="Y17" s="120"/>
      <c r="Z17" s="120"/>
      <c r="AA17" s="119">
        <f>SUM(AA8:AA16)</f>
        <v>0</v>
      </c>
      <c r="AB17" s="119">
        <f>SUM(AB8:AB16)</f>
        <v>0</v>
      </c>
    </row>
  </sheetData>
  <sheetProtection sheet="1"/>
  <phoneticPr fontId="7" type="noConversion"/>
  <pageMargins left="0.39370078740157483" right="0.35433070866141736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0"/>
  <dimension ref="A1:AB14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20.140625" style="10" customWidth="1"/>
    <col min="2" max="2" width="22.28515625" style="10" customWidth="1"/>
    <col min="3" max="3" width="28.7109375" style="10" customWidth="1"/>
    <col min="4" max="4" width="9.140625" style="10" customWidth="1"/>
    <col min="5" max="5" width="8.28515625" style="10" customWidth="1"/>
    <col min="6" max="6" width="9.28515625" style="10" bestFit="1" customWidth="1"/>
    <col min="7" max="14" width="8.85546875" style="10" hidden="1" customWidth="1"/>
    <col min="15" max="15" width="9.140625" style="10" hidden="1" customWidth="1"/>
    <col min="16" max="16" width="9.140625" style="10" customWidth="1"/>
    <col min="17" max="20" width="10.28515625" style="10" customWidth="1"/>
    <col min="21" max="21" width="10.85546875" style="10" customWidth="1"/>
    <col min="22" max="23" width="9.140625" style="10" customWidth="1"/>
    <col min="24" max="26" width="9.140625" style="10" hidden="1" customWidth="1"/>
    <col min="27" max="16384" width="9.140625" style="10"/>
  </cols>
  <sheetData>
    <row r="1" spans="1:28" x14ac:dyDescent="0.25">
      <c r="A1" s="9" t="s">
        <v>211</v>
      </c>
    </row>
    <row r="2" spans="1:28" x14ac:dyDescent="0.25">
      <c r="A2" s="4" t="s">
        <v>146</v>
      </c>
    </row>
    <row r="3" spans="1:28" x14ac:dyDescent="0.25">
      <c r="A3" s="4" t="s">
        <v>169</v>
      </c>
    </row>
    <row r="4" spans="1:28" x14ac:dyDescent="0.25">
      <c r="A4" s="15" t="s">
        <v>149</v>
      </c>
    </row>
    <row r="5" spans="1:28" x14ac:dyDescent="0.25">
      <c r="A5" s="190" t="s">
        <v>448</v>
      </c>
    </row>
    <row r="7" spans="1:28" s="73" customFormat="1" ht="84" x14ac:dyDescent="0.2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297</v>
      </c>
      <c r="H7" s="1" t="s">
        <v>294</v>
      </c>
      <c r="I7" s="1" t="s">
        <v>295</v>
      </c>
      <c r="J7" s="1" t="s">
        <v>296</v>
      </c>
      <c r="K7" s="1" t="s">
        <v>298</v>
      </c>
      <c r="L7" s="1" t="s">
        <v>299</v>
      </c>
      <c r="M7" s="1" t="s">
        <v>300</v>
      </c>
      <c r="N7" s="1" t="s">
        <v>301</v>
      </c>
      <c r="O7" s="1" t="s">
        <v>302</v>
      </c>
      <c r="P7" s="1" t="s">
        <v>165</v>
      </c>
      <c r="Q7" s="68" t="s">
        <v>147</v>
      </c>
      <c r="R7" s="68" t="s">
        <v>148</v>
      </c>
      <c r="S7" s="68" t="s">
        <v>274</v>
      </c>
      <c r="T7" s="68" t="s">
        <v>275</v>
      </c>
      <c r="U7" s="68" t="s">
        <v>306</v>
      </c>
      <c r="V7" s="68" t="s">
        <v>421</v>
      </c>
      <c r="W7" s="68" t="s">
        <v>416</v>
      </c>
      <c r="X7" s="68" t="s">
        <v>225</v>
      </c>
      <c r="Y7" s="68" t="s">
        <v>226</v>
      </c>
      <c r="Z7" s="68" t="s">
        <v>265</v>
      </c>
      <c r="AA7" s="68" t="s">
        <v>266</v>
      </c>
      <c r="AB7" s="68" t="s">
        <v>268</v>
      </c>
    </row>
    <row r="8" spans="1:28" ht="21" x14ac:dyDescent="0.25">
      <c r="A8" s="85" t="s">
        <v>101</v>
      </c>
      <c r="B8" s="85" t="s">
        <v>102</v>
      </c>
      <c r="C8" s="85" t="s">
        <v>103</v>
      </c>
      <c r="D8" s="111"/>
      <c r="E8" s="111"/>
      <c r="F8" s="85">
        <v>1.7</v>
      </c>
      <c r="G8" s="85">
        <v>20</v>
      </c>
      <c r="H8" s="85">
        <v>143</v>
      </c>
      <c r="I8" s="85">
        <v>219</v>
      </c>
      <c r="J8" s="85">
        <v>175</v>
      </c>
      <c r="K8" s="85"/>
      <c r="L8" s="85"/>
      <c r="M8" s="85"/>
      <c r="N8" s="85"/>
      <c r="O8" s="85">
        <f t="shared" ref="O8:O13" si="0">L8+H8</f>
        <v>143</v>
      </c>
      <c r="P8" s="50">
        <f t="shared" ref="P8:P13" si="1">IF(E8="SI", D8*F8/1000*K8, 0)</f>
        <v>0</v>
      </c>
      <c r="Q8" s="70">
        <f t="shared" ref="Q8:Q13" si="2">(D8*F8/1000*G8)+P8</f>
        <v>0</v>
      </c>
      <c r="R8" s="70">
        <f t="shared" ref="R8:R13" si="3">(D8*F8/1000*K8)-P8</f>
        <v>0</v>
      </c>
      <c r="S8" s="70">
        <f t="shared" ref="S8:S13" si="4">IF(P8=0,H8*D8*F8/1000,((H8*D8*F8/1000)+(L8*D8*F8/1000)))</f>
        <v>0</v>
      </c>
      <c r="T8" s="70">
        <f t="shared" ref="T8:T13" si="5">IF(P8=0, L8*D8*F8/1000, 0)</f>
        <v>0</v>
      </c>
      <c r="U8" s="70">
        <f t="shared" ref="U8:U13" si="6">D8*F8/1000</f>
        <v>0</v>
      </c>
      <c r="V8" s="70">
        <f t="shared" ref="V8:V13" si="7">D8*F8*I8/1000+D8*F8*M8/1000</f>
        <v>0</v>
      </c>
      <c r="W8" s="70">
        <f t="shared" ref="W8:W13" si="8">D8*F8*J8/1000+D8*F8*N8/1000</f>
        <v>0</v>
      </c>
      <c r="X8" s="85"/>
      <c r="Y8" s="85">
        <v>0</v>
      </c>
      <c r="Z8" s="85">
        <v>0</v>
      </c>
      <c r="AA8" s="86">
        <f t="shared" ref="AA8:AA13" si="9">Y8*D8</f>
        <v>0</v>
      </c>
      <c r="AB8" s="86">
        <f t="shared" ref="AB8:AB13" si="10">Z8*D8</f>
        <v>0</v>
      </c>
    </row>
    <row r="9" spans="1:28" ht="31.5" x14ac:dyDescent="0.25">
      <c r="A9" s="85" t="s">
        <v>101</v>
      </c>
      <c r="B9" s="85" t="s">
        <v>102</v>
      </c>
      <c r="C9" s="85" t="s">
        <v>104</v>
      </c>
      <c r="D9" s="111"/>
      <c r="E9" s="111"/>
      <c r="F9" s="85">
        <v>1.7</v>
      </c>
      <c r="G9" s="85"/>
      <c r="H9" s="85"/>
      <c r="I9" s="85"/>
      <c r="J9" s="85"/>
      <c r="K9" s="85">
        <v>13</v>
      </c>
      <c r="L9" s="85">
        <v>143</v>
      </c>
      <c r="M9" s="85">
        <v>219</v>
      </c>
      <c r="N9" s="85">
        <v>175</v>
      </c>
      <c r="O9" s="85">
        <f t="shared" si="0"/>
        <v>143</v>
      </c>
      <c r="P9" s="50">
        <f t="shared" si="1"/>
        <v>0</v>
      </c>
      <c r="Q9" s="70">
        <f t="shared" si="2"/>
        <v>0</v>
      </c>
      <c r="R9" s="70">
        <f t="shared" si="3"/>
        <v>0</v>
      </c>
      <c r="S9" s="70">
        <f t="shared" si="4"/>
        <v>0</v>
      </c>
      <c r="T9" s="70">
        <f t="shared" si="5"/>
        <v>0</v>
      </c>
      <c r="U9" s="70">
        <f t="shared" si="6"/>
        <v>0</v>
      </c>
      <c r="V9" s="70">
        <f t="shared" si="7"/>
        <v>0</v>
      </c>
      <c r="W9" s="70">
        <f t="shared" si="8"/>
        <v>0</v>
      </c>
      <c r="X9" s="85"/>
      <c r="Y9" s="85">
        <v>0</v>
      </c>
      <c r="Z9" s="85">
        <v>0</v>
      </c>
      <c r="AA9" s="86">
        <f t="shared" si="9"/>
        <v>0</v>
      </c>
      <c r="AB9" s="86">
        <f t="shared" si="10"/>
        <v>0</v>
      </c>
    </row>
    <row r="10" spans="1:28" ht="21" x14ac:dyDescent="0.25">
      <c r="A10" s="85" t="s">
        <v>245</v>
      </c>
      <c r="B10" s="85" t="s">
        <v>106</v>
      </c>
      <c r="C10" s="85" t="s">
        <v>103</v>
      </c>
      <c r="D10" s="111"/>
      <c r="E10" s="111"/>
      <c r="F10" s="85">
        <v>16.600000000000001</v>
      </c>
      <c r="G10" s="85">
        <v>20</v>
      </c>
      <c r="H10" s="85">
        <v>143</v>
      </c>
      <c r="I10" s="85">
        <v>219</v>
      </c>
      <c r="J10" s="85">
        <v>175</v>
      </c>
      <c r="K10" s="85"/>
      <c r="L10" s="85"/>
      <c r="M10" s="85"/>
      <c r="N10" s="85"/>
      <c r="O10" s="85">
        <f t="shared" si="0"/>
        <v>143</v>
      </c>
      <c r="P10" s="50">
        <f t="shared" si="1"/>
        <v>0</v>
      </c>
      <c r="Q10" s="70">
        <f t="shared" si="2"/>
        <v>0</v>
      </c>
      <c r="R10" s="70">
        <f t="shared" si="3"/>
        <v>0</v>
      </c>
      <c r="S10" s="70">
        <f t="shared" si="4"/>
        <v>0</v>
      </c>
      <c r="T10" s="70">
        <f t="shared" si="5"/>
        <v>0</v>
      </c>
      <c r="U10" s="70">
        <f t="shared" si="6"/>
        <v>0</v>
      </c>
      <c r="V10" s="70">
        <f t="shared" si="7"/>
        <v>0</v>
      </c>
      <c r="W10" s="70">
        <f t="shared" si="8"/>
        <v>0</v>
      </c>
      <c r="X10" s="85"/>
      <c r="Y10" s="85">
        <v>0</v>
      </c>
      <c r="Z10" s="85">
        <v>0</v>
      </c>
      <c r="AA10" s="86">
        <f t="shared" si="9"/>
        <v>0</v>
      </c>
      <c r="AB10" s="86">
        <f t="shared" si="10"/>
        <v>0</v>
      </c>
    </row>
    <row r="11" spans="1:28" ht="31.5" x14ac:dyDescent="0.25">
      <c r="A11" s="85" t="s">
        <v>245</v>
      </c>
      <c r="B11" s="85" t="s">
        <v>106</v>
      </c>
      <c r="C11" s="85" t="s">
        <v>104</v>
      </c>
      <c r="D11" s="111"/>
      <c r="E11" s="111"/>
      <c r="F11" s="85">
        <v>16.600000000000001</v>
      </c>
      <c r="G11" s="85"/>
      <c r="H11" s="85"/>
      <c r="I11" s="85"/>
      <c r="J11" s="85"/>
      <c r="K11" s="85">
        <v>13</v>
      </c>
      <c r="L11" s="85">
        <v>143</v>
      </c>
      <c r="M11" s="85">
        <v>219</v>
      </c>
      <c r="N11" s="85">
        <v>175</v>
      </c>
      <c r="O11" s="85">
        <f t="shared" si="0"/>
        <v>143</v>
      </c>
      <c r="P11" s="50">
        <f t="shared" si="1"/>
        <v>0</v>
      </c>
      <c r="Q11" s="70">
        <f t="shared" si="2"/>
        <v>0</v>
      </c>
      <c r="R11" s="70">
        <f t="shared" si="3"/>
        <v>0</v>
      </c>
      <c r="S11" s="70">
        <f t="shared" si="4"/>
        <v>0</v>
      </c>
      <c r="T11" s="70">
        <f t="shared" si="5"/>
        <v>0</v>
      </c>
      <c r="U11" s="70">
        <f t="shared" si="6"/>
        <v>0</v>
      </c>
      <c r="V11" s="70">
        <f t="shared" si="7"/>
        <v>0</v>
      </c>
      <c r="W11" s="70">
        <f t="shared" si="8"/>
        <v>0</v>
      </c>
      <c r="X11" s="85"/>
      <c r="Y11" s="85">
        <v>0</v>
      </c>
      <c r="Z11" s="85">
        <v>0</v>
      </c>
      <c r="AA11" s="86">
        <f t="shared" si="9"/>
        <v>0</v>
      </c>
      <c r="AB11" s="86">
        <f t="shared" si="10"/>
        <v>0</v>
      </c>
    </row>
    <row r="12" spans="1:28" ht="21" x14ac:dyDescent="0.25">
      <c r="A12" s="85" t="s">
        <v>245</v>
      </c>
      <c r="B12" s="85" t="s">
        <v>105</v>
      </c>
      <c r="C12" s="85" t="s">
        <v>103</v>
      </c>
      <c r="D12" s="111"/>
      <c r="E12" s="111"/>
      <c r="F12" s="85">
        <v>3.5</v>
      </c>
      <c r="G12" s="85">
        <v>20</v>
      </c>
      <c r="H12" s="85">
        <v>143</v>
      </c>
      <c r="I12" s="85">
        <v>219</v>
      </c>
      <c r="J12" s="85">
        <v>175</v>
      </c>
      <c r="K12" s="85"/>
      <c r="L12" s="85"/>
      <c r="M12" s="85"/>
      <c r="N12" s="85"/>
      <c r="O12" s="85">
        <f t="shared" si="0"/>
        <v>143</v>
      </c>
      <c r="P12" s="50">
        <f t="shared" si="1"/>
        <v>0</v>
      </c>
      <c r="Q12" s="70">
        <f t="shared" si="2"/>
        <v>0</v>
      </c>
      <c r="R12" s="70">
        <f t="shared" si="3"/>
        <v>0</v>
      </c>
      <c r="S12" s="70">
        <f t="shared" si="4"/>
        <v>0</v>
      </c>
      <c r="T12" s="70">
        <f t="shared" si="5"/>
        <v>0</v>
      </c>
      <c r="U12" s="70">
        <f t="shared" si="6"/>
        <v>0</v>
      </c>
      <c r="V12" s="70">
        <f t="shared" si="7"/>
        <v>0</v>
      </c>
      <c r="W12" s="70">
        <f t="shared" si="8"/>
        <v>0</v>
      </c>
      <c r="X12" s="85"/>
      <c r="Y12" s="85">
        <v>0</v>
      </c>
      <c r="Z12" s="85">
        <v>0</v>
      </c>
      <c r="AA12" s="86">
        <f t="shared" si="9"/>
        <v>0</v>
      </c>
      <c r="AB12" s="86">
        <f t="shared" si="10"/>
        <v>0</v>
      </c>
    </row>
    <row r="13" spans="1:28" ht="31.5" x14ac:dyDescent="0.25">
      <c r="A13" s="85" t="s">
        <v>245</v>
      </c>
      <c r="B13" s="85" t="s">
        <v>105</v>
      </c>
      <c r="C13" s="85" t="s">
        <v>104</v>
      </c>
      <c r="D13" s="111"/>
      <c r="E13" s="111"/>
      <c r="F13" s="85">
        <v>3.5</v>
      </c>
      <c r="G13" s="85"/>
      <c r="H13" s="85"/>
      <c r="I13" s="85"/>
      <c r="J13" s="85"/>
      <c r="K13" s="85">
        <v>13</v>
      </c>
      <c r="L13" s="85">
        <v>143</v>
      </c>
      <c r="M13" s="85">
        <v>219</v>
      </c>
      <c r="N13" s="85">
        <v>175</v>
      </c>
      <c r="O13" s="85">
        <f t="shared" si="0"/>
        <v>143</v>
      </c>
      <c r="P13" s="50">
        <f t="shared" si="1"/>
        <v>0</v>
      </c>
      <c r="Q13" s="70">
        <f t="shared" si="2"/>
        <v>0</v>
      </c>
      <c r="R13" s="70">
        <f t="shared" si="3"/>
        <v>0</v>
      </c>
      <c r="S13" s="70">
        <f t="shared" si="4"/>
        <v>0</v>
      </c>
      <c r="T13" s="70">
        <f t="shared" si="5"/>
        <v>0</v>
      </c>
      <c r="U13" s="70">
        <f t="shared" si="6"/>
        <v>0</v>
      </c>
      <c r="V13" s="70">
        <f t="shared" si="7"/>
        <v>0</v>
      </c>
      <c r="W13" s="70">
        <f t="shared" si="8"/>
        <v>0</v>
      </c>
      <c r="X13" s="85"/>
      <c r="Y13" s="85">
        <v>0</v>
      </c>
      <c r="Z13" s="85">
        <v>0</v>
      </c>
      <c r="AA13" s="86">
        <f t="shared" si="9"/>
        <v>0</v>
      </c>
      <c r="AB13" s="86">
        <f t="shared" si="10"/>
        <v>0</v>
      </c>
    </row>
    <row r="14" spans="1:28" s="125" customFormat="1" ht="12.75" x14ac:dyDescent="0.2">
      <c r="A14" s="121" t="s">
        <v>144</v>
      </c>
      <c r="B14" s="122"/>
      <c r="C14" s="122"/>
      <c r="D14" s="118">
        <f>SUM(D8:D13)</f>
        <v>0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119">
        <f t="shared" ref="P14:W14" si="11">SUM(P8:P13)</f>
        <v>0</v>
      </c>
      <c r="Q14" s="119">
        <f t="shared" si="11"/>
        <v>0</v>
      </c>
      <c r="R14" s="119">
        <f t="shared" si="11"/>
        <v>0</v>
      </c>
      <c r="S14" s="119">
        <f t="shared" si="11"/>
        <v>0</v>
      </c>
      <c r="T14" s="119">
        <f t="shared" si="11"/>
        <v>0</v>
      </c>
      <c r="U14" s="119">
        <f t="shared" si="11"/>
        <v>0</v>
      </c>
      <c r="V14" s="119">
        <f t="shared" si="11"/>
        <v>0</v>
      </c>
      <c r="W14" s="119">
        <f t="shared" si="11"/>
        <v>0</v>
      </c>
      <c r="X14" s="124"/>
      <c r="Y14" s="124"/>
      <c r="Z14" s="124"/>
      <c r="AA14" s="119">
        <f>SUM(AA8:AA13)</f>
        <v>0</v>
      </c>
      <c r="AB14" s="119">
        <f>SUM(AB8:AB13)</f>
        <v>0</v>
      </c>
    </row>
  </sheetData>
  <sheetProtection sheet="1"/>
  <phoneticPr fontId="7" type="noConversion"/>
  <pageMargins left="0.27559055118110237" right="0.27559055118110237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1"/>
  <dimension ref="A1:AB14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20.28515625" style="10" customWidth="1"/>
    <col min="2" max="2" width="22" style="10" customWidth="1"/>
    <col min="3" max="3" width="34.5703125" style="10" customWidth="1"/>
    <col min="4" max="4" width="9.140625" style="10" customWidth="1"/>
    <col min="5" max="5" width="8.140625" style="10" customWidth="1"/>
    <col min="6" max="6" width="9" style="10" customWidth="1"/>
    <col min="7" max="14" width="8.85546875" style="10" hidden="1" customWidth="1"/>
    <col min="15" max="15" width="9.140625" style="10" hidden="1" customWidth="1"/>
    <col min="16" max="16" width="9.140625" style="10" customWidth="1"/>
    <col min="17" max="20" width="10.28515625" style="10" customWidth="1"/>
    <col min="21" max="21" width="10.7109375" style="10" customWidth="1"/>
    <col min="22" max="23" width="9.140625" style="10" customWidth="1"/>
    <col min="24" max="26" width="9.140625" style="10" hidden="1" customWidth="1"/>
    <col min="27" max="16384" width="9.140625" style="10"/>
  </cols>
  <sheetData>
    <row r="1" spans="1:28" x14ac:dyDescent="0.25">
      <c r="A1" s="9" t="s">
        <v>212</v>
      </c>
    </row>
    <row r="2" spans="1:28" x14ac:dyDescent="0.25">
      <c r="A2" s="4" t="s">
        <v>146</v>
      </c>
    </row>
    <row r="3" spans="1:28" x14ac:dyDescent="0.25">
      <c r="A3" s="4" t="s">
        <v>169</v>
      </c>
    </row>
    <row r="4" spans="1:28" x14ac:dyDescent="0.25">
      <c r="A4" s="15" t="s">
        <v>149</v>
      </c>
    </row>
    <row r="5" spans="1:28" x14ac:dyDescent="0.25">
      <c r="A5" s="190" t="s">
        <v>448</v>
      </c>
    </row>
    <row r="7" spans="1:28" s="73" customFormat="1" ht="84" customHeight="1" x14ac:dyDescent="0.2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297</v>
      </c>
      <c r="H7" s="1" t="s">
        <v>294</v>
      </c>
      <c r="I7" s="1" t="s">
        <v>295</v>
      </c>
      <c r="J7" s="1" t="s">
        <v>296</v>
      </c>
      <c r="K7" s="1" t="s">
        <v>298</v>
      </c>
      <c r="L7" s="1" t="s">
        <v>299</v>
      </c>
      <c r="M7" s="1" t="s">
        <v>300</v>
      </c>
      <c r="N7" s="1" t="s">
        <v>301</v>
      </c>
      <c r="O7" s="1" t="s">
        <v>302</v>
      </c>
      <c r="P7" s="1" t="s">
        <v>165</v>
      </c>
      <c r="Q7" s="68" t="s">
        <v>147</v>
      </c>
      <c r="R7" s="68" t="s">
        <v>148</v>
      </c>
      <c r="S7" s="68" t="s">
        <v>274</v>
      </c>
      <c r="T7" s="68" t="s">
        <v>275</v>
      </c>
      <c r="U7" s="68" t="s">
        <v>306</v>
      </c>
      <c r="V7" s="68" t="s">
        <v>421</v>
      </c>
      <c r="W7" s="68" t="s">
        <v>416</v>
      </c>
      <c r="X7" s="68" t="s">
        <v>225</v>
      </c>
      <c r="Y7" s="68" t="s">
        <v>226</v>
      </c>
      <c r="Z7" s="68" t="s">
        <v>265</v>
      </c>
      <c r="AA7" s="68" t="s">
        <v>266</v>
      </c>
      <c r="AB7" s="68" t="s">
        <v>268</v>
      </c>
    </row>
    <row r="8" spans="1:28" ht="21" x14ac:dyDescent="0.25">
      <c r="A8" s="85" t="s">
        <v>246</v>
      </c>
      <c r="B8" s="85" t="s">
        <v>119</v>
      </c>
      <c r="C8" s="85" t="s">
        <v>109</v>
      </c>
      <c r="D8" s="111"/>
      <c r="E8" s="111"/>
      <c r="F8" s="85">
        <v>170</v>
      </c>
      <c r="G8" s="85">
        <v>5</v>
      </c>
      <c r="H8" s="85">
        <v>21</v>
      </c>
      <c r="I8" s="85">
        <v>7.4</v>
      </c>
      <c r="J8" s="85">
        <v>17.3</v>
      </c>
      <c r="K8" s="85">
        <v>24.4</v>
      </c>
      <c r="L8" s="85">
        <v>48</v>
      </c>
      <c r="M8" s="85">
        <v>34</v>
      </c>
      <c r="N8" s="85">
        <v>84.7</v>
      </c>
      <c r="O8" s="85">
        <f t="shared" ref="O8:O13" si="0">L8+H8</f>
        <v>69</v>
      </c>
      <c r="P8" s="50">
        <f t="shared" ref="P8:P13" si="1">IF(E8="SI", D8*F8/1000*K8, 0)</f>
        <v>0</v>
      </c>
      <c r="Q8" s="70">
        <f t="shared" ref="Q8:Q13" si="2">(D8*F8/1000*G8)+P8</f>
        <v>0</v>
      </c>
      <c r="R8" s="70">
        <f t="shared" ref="R8:R13" si="3">(D8*F8/1000*K8)-P8</f>
        <v>0</v>
      </c>
      <c r="S8" s="70">
        <f t="shared" ref="S8:S13" si="4">IF(P8=0,H8*D8*F8/1000,((H8*D8*F8/1000)+(L8*D8*F8/1000)))</f>
        <v>0</v>
      </c>
      <c r="T8" s="70">
        <f t="shared" ref="T8:T13" si="5">IF(P8=0, L8*D8*F8/1000, 0)</f>
        <v>0</v>
      </c>
      <c r="U8" s="70">
        <f t="shared" ref="U8:U13" si="6">D8*F8/1000</f>
        <v>0</v>
      </c>
      <c r="V8" s="345">
        <f t="shared" ref="V8:V13" si="7">D8*F8/1000*I8+D8*F8/1000*M8</f>
        <v>0</v>
      </c>
      <c r="W8" s="345">
        <f t="shared" ref="W8:W13" si="8">D8*F8/1000*J8+D8*F8/1000*N8</f>
        <v>0</v>
      </c>
      <c r="X8" s="85"/>
      <c r="Y8" s="85">
        <v>0</v>
      </c>
      <c r="Z8" s="85">
        <v>0</v>
      </c>
      <c r="AA8" s="86">
        <f t="shared" ref="AA8:AA13" si="9">Y8*D8</f>
        <v>0</v>
      </c>
      <c r="AB8" s="86">
        <f t="shared" ref="AB8:AB13" si="10">Z8*D8</f>
        <v>0</v>
      </c>
    </row>
    <row r="9" spans="1:28" ht="21" x14ac:dyDescent="0.25">
      <c r="A9" s="85" t="s">
        <v>247</v>
      </c>
      <c r="B9" s="85" t="s">
        <v>119</v>
      </c>
      <c r="C9" s="85" t="s">
        <v>109</v>
      </c>
      <c r="D9" s="111"/>
      <c r="E9" s="111"/>
      <c r="F9" s="85">
        <v>170</v>
      </c>
      <c r="G9" s="85">
        <v>5</v>
      </c>
      <c r="H9" s="85">
        <v>21</v>
      </c>
      <c r="I9" s="85">
        <v>7.4</v>
      </c>
      <c r="J9" s="85">
        <v>17.3</v>
      </c>
      <c r="K9" s="85">
        <v>24.4</v>
      </c>
      <c r="L9" s="85">
        <v>48</v>
      </c>
      <c r="M9" s="85">
        <v>34</v>
      </c>
      <c r="N9" s="85">
        <v>84.7</v>
      </c>
      <c r="O9" s="85">
        <f t="shared" si="0"/>
        <v>69</v>
      </c>
      <c r="P9" s="50">
        <f t="shared" si="1"/>
        <v>0</v>
      </c>
      <c r="Q9" s="70">
        <f t="shared" si="2"/>
        <v>0</v>
      </c>
      <c r="R9" s="70">
        <f t="shared" si="3"/>
        <v>0</v>
      </c>
      <c r="S9" s="70">
        <f t="shared" si="4"/>
        <v>0</v>
      </c>
      <c r="T9" s="70">
        <f t="shared" si="5"/>
        <v>0</v>
      </c>
      <c r="U9" s="70">
        <f t="shared" si="6"/>
        <v>0</v>
      </c>
      <c r="V9" s="345">
        <f t="shared" si="7"/>
        <v>0</v>
      </c>
      <c r="W9" s="345">
        <f t="shared" si="8"/>
        <v>0</v>
      </c>
      <c r="X9" s="85"/>
      <c r="Y9" s="85">
        <v>1</v>
      </c>
      <c r="Z9" s="85">
        <v>1</v>
      </c>
      <c r="AA9" s="86">
        <f t="shared" si="9"/>
        <v>0</v>
      </c>
      <c r="AB9" s="86">
        <f t="shared" si="10"/>
        <v>0</v>
      </c>
    </row>
    <row r="10" spans="1:28" ht="21" x14ac:dyDescent="0.25">
      <c r="A10" s="85" t="s">
        <v>246</v>
      </c>
      <c r="B10" s="85" t="s">
        <v>119</v>
      </c>
      <c r="C10" s="85" t="s">
        <v>141</v>
      </c>
      <c r="D10" s="111"/>
      <c r="E10" s="111"/>
      <c r="F10" s="85">
        <v>170</v>
      </c>
      <c r="G10" s="85"/>
      <c r="H10" s="85"/>
      <c r="I10" s="85"/>
      <c r="J10" s="85"/>
      <c r="K10" s="85">
        <v>29.4</v>
      </c>
      <c r="L10" s="85">
        <v>69</v>
      </c>
      <c r="M10" s="85">
        <v>41.4</v>
      </c>
      <c r="N10" s="85">
        <v>102</v>
      </c>
      <c r="O10" s="85">
        <f t="shared" si="0"/>
        <v>69</v>
      </c>
      <c r="P10" s="50">
        <f t="shared" si="1"/>
        <v>0</v>
      </c>
      <c r="Q10" s="70">
        <f t="shared" si="2"/>
        <v>0</v>
      </c>
      <c r="R10" s="70">
        <f t="shared" si="3"/>
        <v>0</v>
      </c>
      <c r="S10" s="70">
        <f t="shared" si="4"/>
        <v>0</v>
      </c>
      <c r="T10" s="70">
        <f t="shared" si="5"/>
        <v>0</v>
      </c>
      <c r="U10" s="70">
        <f t="shared" si="6"/>
        <v>0</v>
      </c>
      <c r="V10" s="345">
        <f t="shared" si="7"/>
        <v>0</v>
      </c>
      <c r="W10" s="345">
        <f t="shared" si="8"/>
        <v>0</v>
      </c>
      <c r="X10" s="85"/>
      <c r="Y10" s="85">
        <v>0</v>
      </c>
      <c r="Z10" s="85">
        <v>0</v>
      </c>
      <c r="AA10" s="86">
        <f t="shared" si="9"/>
        <v>0</v>
      </c>
      <c r="AB10" s="86">
        <f t="shared" si="10"/>
        <v>0</v>
      </c>
    </row>
    <row r="11" spans="1:28" ht="21" x14ac:dyDescent="0.25">
      <c r="A11" s="85" t="s">
        <v>247</v>
      </c>
      <c r="B11" s="85" t="s">
        <v>119</v>
      </c>
      <c r="C11" s="85" t="s">
        <v>141</v>
      </c>
      <c r="D11" s="111"/>
      <c r="E11" s="111"/>
      <c r="F11" s="85">
        <v>170</v>
      </c>
      <c r="G11" s="85"/>
      <c r="H11" s="85"/>
      <c r="I11" s="85"/>
      <c r="J11" s="85"/>
      <c r="K11" s="85">
        <v>29.4</v>
      </c>
      <c r="L11" s="85">
        <v>69</v>
      </c>
      <c r="M11" s="85">
        <v>41.4</v>
      </c>
      <c r="N11" s="85">
        <v>102</v>
      </c>
      <c r="O11" s="85">
        <f t="shared" si="0"/>
        <v>69</v>
      </c>
      <c r="P11" s="50">
        <f t="shared" si="1"/>
        <v>0</v>
      </c>
      <c r="Q11" s="70">
        <f t="shared" si="2"/>
        <v>0</v>
      </c>
      <c r="R11" s="70">
        <f t="shared" si="3"/>
        <v>0</v>
      </c>
      <c r="S11" s="70">
        <f t="shared" si="4"/>
        <v>0</v>
      </c>
      <c r="T11" s="70">
        <f t="shared" si="5"/>
        <v>0</v>
      </c>
      <c r="U11" s="70">
        <f t="shared" si="6"/>
        <v>0</v>
      </c>
      <c r="V11" s="345">
        <f t="shared" si="7"/>
        <v>0</v>
      </c>
      <c r="W11" s="345">
        <f t="shared" si="8"/>
        <v>0</v>
      </c>
      <c r="X11" s="85"/>
      <c r="Y11" s="85">
        <v>1</v>
      </c>
      <c r="Z11" s="85">
        <v>1</v>
      </c>
      <c r="AA11" s="86">
        <f t="shared" si="9"/>
        <v>0</v>
      </c>
      <c r="AB11" s="86">
        <f t="shared" si="10"/>
        <v>0</v>
      </c>
    </row>
    <row r="12" spans="1:28" ht="21" x14ac:dyDescent="0.25">
      <c r="A12" s="85" t="s">
        <v>247</v>
      </c>
      <c r="B12" s="85" t="s">
        <v>120</v>
      </c>
      <c r="C12" s="85" t="s">
        <v>109</v>
      </c>
      <c r="D12" s="111"/>
      <c r="E12" s="111"/>
      <c r="F12" s="85">
        <v>550</v>
      </c>
      <c r="G12" s="85">
        <v>5</v>
      </c>
      <c r="H12" s="85">
        <v>21</v>
      </c>
      <c r="I12" s="85">
        <v>7.4</v>
      </c>
      <c r="J12" s="85">
        <v>17.3</v>
      </c>
      <c r="K12" s="85">
        <v>24.4</v>
      </c>
      <c r="L12" s="85">
        <v>48</v>
      </c>
      <c r="M12" s="85">
        <v>34</v>
      </c>
      <c r="N12" s="85">
        <v>84.7</v>
      </c>
      <c r="O12" s="85">
        <f t="shared" si="0"/>
        <v>69</v>
      </c>
      <c r="P12" s="50">
        <f t="shared" si="1"/>
        <v>0</v>
      </c>
      <c r="Q12" s="70">
        <f t="shared" si="2"/>
        <v>0</v>
      </c>
      <c r="R12" s="70">
        <f t="shared" si="3"/>
        <v>0</v>
      </c>
      <c r="S12" s="70">
        <f t="shared" si="4"/>
        <v>0</v>
      </c>
      <c r="T12" s="70">
        <f t="shared" si="5"/>
        <v>0</v>
      </c>
      <c r="U12" s="70">
        <f t="shared" si="6"/>
        <v>0</v>
      </c>
      <c r="V12" s="345">
        <f t="shared" si="7"/>
        <v>0</v>
      </c>
      <c r="W12" s="345">
        <f t="shared" si="8"/>
        <v>0</v>
      </c>
      <c r="X12" s="85"/>
      <c r="Y12" s="85">
        <v>1</v>
      </c>
      <c r="Z12" s="85">
        <v>1</v>
      </c>
      <c r="AA12" s="86">
        <f t="shared" si="9"/>
        <v>0</v>
      </c>
      <c r="AB12" s="86">
        <f t="shared" si="10"/>
        <v>0</v>
      </c>
    </row>
    <row r="13" spans="1:28" ht="21" x14ac:dyDescent="0.25">
      <c r="A13" s="85" t="s">
        <v>247</v>
      </c>
      <c r="B13" s="85" t="s">
        <v>120</v>
      </c>
      <c r="C13" s="85" t="s">
        <v>141</v>
      </c>
      <c r="D13" s="111"/>
      <c r="E13" s="111"/>
      <c r="F13" s="85">
        <v>550</v>
      </c>
      <c r="G13" s="85"/>
      <c r="H13" s="85"/>
      <c r="I13" s="85"/>
      <c r="J13" s="85"/>
      <c r="K13" s="85">
        <v>29.4</v>
      </c>
      <c r="L13" s="85">
        <v>69</v>
      </c>
      <c r="M13" s="85">
        <v>41.4</v>
      </c>
      <c r="N13" s="85">
        <v>102</v>
      </c>
      <c r="O13" s="85">
        <f t="shared" si="0"/>
        <v>69</v>
      </c>
      <c r="P13" s="50">
        <f t="shared" si="1"/>
        <v>0</v>
      </c>
      <c r="Q13" s="70">
        <f t="shared" si="2"/>
        <v>0</v>
      </c>
      <c r="R13" s="70">
        <f t="shared" si="3"/>
        <v>0</v>
      </c>
      <c r="S13" s="70">
        <f t="shared" si="4"/>
        <v>0</v>
      </c>
      <c r="T13" s="70">
        <f t="shared" si="5"/>
        <v>0</v>
      </c>
      <c r="U13" s="70">
        <f t="shared" si="6"/>
        <v>0</v>
      </c>
      <c r="V13" s="345">
        <f t="shared" si="7"/>
        <v>0</v>
      </c>
      <c r="W13" s="345">
        <f t="shared" si="8"/>
        <v>0</v>
      </c>
      <c r="X13" s="85"/>
      <c r="Y13" s="85">
        <v>1</v>
      </c>
      <c r="Z13" s="85">
        <v>1</v>
      </c>
      <c r="AA13" s="86">
        <f t="shared" si="9"/>
        <v>0</v>
      </c>
      <c r="AB13" s="86">
        <f t="shared" si="10"/>
        <v>0</v>
      </c>
    </row>
    <row r="14" spans="1:28" s="127" customFormat="1" ht="12.75" x14ac:dyDescent="0.2">
      <c r="A14" s="117" t="s">
        <v>144</v>
      </c>
      <c r="B14" s="126"/>
      <c r="C14" s="126"/>
      <c r="D14" s="118">
        <f>SUM(D8:D13)</f>
        <v>0</v>
      </c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P14" s="119">
        <f t="shared" ref="P14:W14" si="11">SUM(P8:P13)</f>
        <v>0</v>
      </c>
      <c r="Q14" s="119">
        <f t="shared" si="11"/>
        <v>0</v>
      </c>
      <c r="R14" s="119">
        <f t="shared" si="11"/>
        <v>0</v>
      </c>
      <c r="S14" s="119">
        <f t="shared" si="11"/>
        <v>0</v>
      </c>
      <c r="T14" s="119">
        <f t="shared" si="11"/>
        <v>0</v>
      </c>
      <c r="U14" s="119">
        <f t="shared" si="11"/>
        <v>0</v>
      </c>
      <c r="V14" s="119">
        <f t="shared" si="11"/>
        <v>0</v>
      </c>
      <c r="W14" s="119">
        <f t="shared" si="11"/>
        <v>0</v>
      </c>
      <c r="X14" s="120"/>
      <c r="Y14" s="120"/>
      <c r="Z14" s="191"/>
      <c r="AA14" s="119">
        <f>SUM(AA8:AA13)</f>
        <v>0</v>
      </c>
      <c r="AB14" s="119">
        <f>SUM(AB8:AB13)</f>
        <v>0</v>
      </c>
    </row>
  </sheetData>
  <sheetProtection sheet="1"/>
  <phoneticPr fontId="7" type="noConversion"/>
  <pageMargins left="0.23622047244094491" right="0.23622047244094491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2"/>
  <dimension ref="A1:AB20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12.5703125" customWidth="1"/>
    <col min="2" max="2" width="18.7109375" bestFit="1" customWidth="1"/>
    <col min="3" max="3" width="38.5703125" customWidth="1"/>
    <col min="5" max="5" width="8.5703125" customWidth="1"/>
    <col min="7" max="15" width="8.85546875" hidden="1" customWidth="1"/>
    <col min="17" max="20" width="10.28515625" customWidth="1"/>
    <col min="21" max="21" width="10.7109375" bestFit="1" customWidth="1"/>
    <col min="22" max="22" width="10.42578125" customWidth="1"/>
    <col min="23" max="23" width="9.140625" customWidth="1"/>
    <col min="24" max="26" width="9.140625" hidden="1" customWidth="1"/>
  </cols>
  <sheetData>
    <row r="1" spans="1:28" x14ac:dyDescent="0.25">
      <c r="A1" s="9" t="s">
        <v>214</v>
      </c>
    </row>
    <row r="2" spans="1:28" x14ac:dyDescent="0.25">
      <c r="A2" s="4" t="s">
        <v>146</v>
      </c>
    </row>
    <row r="3" spans="1:28" x14ac:dyDescent="0.25">
      <c r="A3" s="4" t="s">
        <v>169</v>
      </c>
    </row>
    <row r="4" spans="1:28" x14ac:dyDescent="0.25">
      <c r="A4" s="15" t="s">
        <v>149</v>
      </c>
    </row>
    <row r="5" spans="1:28" x14ac:dyDescent="0.25">
      <c r="A5" s="190" t="s">
        <v>448</v>
      </c>
    </row>
    <row r="7" spans="1:28" s="73" customFormat="1" ht="84" customHeight="1" x14ac:dyDescent="0.2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297</v>
      </c>
      <c r="H7" s="1" t="s">
        <v>294</v>
      </c>
      <c r="I7" s="1" t="s">
        <v>295</v>
      </c>
      <c r="J7" s="1" t="s">
        <v>296</v>
      </c>
      <c r="K7" s="1" t="s">
        <v>298</v>
      </c>
      <c r="L7" s="1" t="s">
        <v>299</v>
      </c>
      <c r="M7" s="1" t="s">
        <v>300</v>
      </c>
      <c r="N7" s="1" t="s">
        <v>301</v>
      </c>
      <c r="O7" s="1" t="s">
        <v>302</v>
      </c>
      <c r="P7" s="1" t="s">
        <v>165</v>
      </c>
      <c r="Q7" s="68" t="s">
        <v>147</v>
      </c>
      <c r="R7" s="68" t="s">
        <v>148</v>
      </c>
      <c r="S7" s="68" t="s">
        <v>274</v>
      </c>
      <c r="T7" s="68" t="s">
        <v>275</v>
      </c>
      <c r="U7" s="68" t="s">
        <v>306</v>
      </c>
      <c r="V7" s="68" t="s">
        <v>421</v>
      </c>
      <c r="W7" s="68" t="s">
        <v>416</v>
      </c>
      <c r="X7" s="68" t="s">
        <v>225</v>
      </c>
      <c r="Y7" s="68" t="s">
        <v>226</v>
      </c>
      <c r="Z7" s="68" t="s">
        <v>265</v>
      </c>
      <c r="AA7" s="68" t="s">
        <v>266</v>
      </c>
      <c r="AB7" s="68" t="s">
        <v>268</v>
      </c>
    </row>
    <row r="8" spans="1:28" s="10" customFormat="1" ht="21" x14ac:dyDescent="0.25">
      <c r="A8" s="85" t="s">
        <v>107</v>
      </c>
      <c r="B8" s="85" t="s">
        <v>108</v>
      </c>
      <c r="C8" s="85" t="s">
        <v>109</v>
      </c>
      <c r="D8" s="111"/>
      <c r="E8" s="111"/>
      <c r="F8" s="85">
        <v>15</v>
      </c>
      <c r="G8" s="85">
        <v>7</v>
      </c>
      <c r="H8" s="85">
        <v>44</v>
      </c>
      <c r="I8" s="85">
        <v>9.8000000000000007</v>
      </c>
      <c r="J8" s="85">
        <v>26.1</v>
      </c>
      <c r="K8" s="85">
        <v>24.4</v>
      </c>
      <c r="L8" s="85">
        <v>55</v>
      </c>
      <c r="M8" s="85">
        <v>34</v>
      </c>
      <c r="N8" s="85">
        <v>90.9</v>
      </c>
      <c r="O8" s="85">
        <f>L8+H8</f>
        <v>99</v>
      </c>
      <c r="P8" s="50">
        <f t="shared" ref="P8:P16" si="0">IF(E8="SI", D8*F8/1000*K8, 0)</f>
        <v>0</v>
      </c>
      <c r="Q8" s="70">
        <f t="shared" ref="Q8:Q16" si="1">(D8*F8/1000*G8)+P8</f>
        <v>0</v>
      </c>
      <c r="R8" s="70">
        <f t="shared" ref="R8:R16" si="2">(D8*F8/1000*K8)-P8</f>
        <v>0</v>
      </c>
      <c r="S8" s="70">
        <f t="shared" ref="S8:S16" si="3">IF(P8=0,H8*D8*F8/1000,((H8*D8*F8/1000)+(L8*D8*F8/1000)))</f>
        <v>0</v>
      </c>
      <c r="T8" s="70">
        <f t="shared" ref="T8:T16" si="4">IF(P8=0, L8*D8*F8/1000, 0)</f>
        <v>0</v>
      </c>
      <c r="U8" s="70">
        <f>D8*F8/1000</f>
        <v>0</v>
      </c>
      <c r="V8" s="70">
        <f>D8*F8*I8/1000+D8*F8*M8/1000</f>
        <v>0</v>
      </c>
      <c r="W8" s="70">
        <f>D8*F8*J8/1000+D8*F8*N8/1000</f>
        <v>0</v>
      </c>
      <c r="X8" s="85"/>
      <c r="Y8" s="85">
        <v>0.15</v>
      </c>
      <c r="Z8" s="85">
        <v>0.15</v>
      </c>
      <c r="AA8" s="86">
        <f t="shared" ref="AA8:AA16" si="5">Y8*D8</f>
        <v>0</v>
      </c>
      <c r="AB8" s="86">
        <f t="shared" ref="AB8:AB16" si="6">Z8*D8</f>
        <v>0</v>
      </c>
    </row>
    <row r="9" spans="1:28" s="10" customFormat="1" ht="21" x14ac:dyDescent="0.25">
      <c r="A9" s="85" t="s">
        <v>107</v>
      </c>
      <c r="B9" s="85" t="s">
        <v>108</v>
      </c>
      <c r="C9" s="85" t="s">
        <v>141</v>
      </c>
      <c r="D9" s="111"/>
      <c r="E9" s="111"/>
      <c r="F9" s="85">
        <v>15</v>
      </c>
      <c r="G9" s="85"/>
      <c r="H9" s="85"/>
      <c r="I9" s="85"/>
      <c r="J9" s="85"/>
      <c r="K9" s="85">
        <v>31.4</v>
      </c>
      <c r="L9" s="85">
        <v>99</v>
      </c>
      <c r="M9" s="85">
        <v>43.8</v>
      </c>
      <c r="N9" s="85">
        <v>117</v>
      </c>
      <c r="O9" s="85">
        <f t="shared" ref="O9:O16" si="7">L9+H9</f>
        <v>99</v>
      </c>
      <c r="P9" s="50">
        <f t="shared" si="0"/>
        <v>0</v>
      </c>
      <c r="Q9" s="70">
        <f t="shared" si="1"/>
        <v>0</v>
      </c>
      <c r="R9" s="70">
        <f t="shared" si="2"/>
        <v>0</v>
      </c>
      <c r="S9" s="70">
        <f t="shared" si="3"/>
        <v>0</v>
      </c>
      <c r="T9" s="70">
        <f t="shared" si="4"/>
        <v>0</v>
      </c>
      <c r="U9" s="70">
        <f t="shared" ref="U9:U16" si="8">D9*F9/1000</f>
        <v>0</v>
      </c>
      <c r="V9" s="70">
        <f t="shared" ref="V9:V16" si="9">D9*F9*I9/1000+D9*F9*M9/1000</f>
        <v>0</v>
      </c>
      <c r="W9" s="70">
        <f t="shared" ref="W9:W16" si="10">D9*F9*J9/1000+D9*F9*N9/1000</f>
        <v>0</v>
      </c>
      <c r="X9" s="85"/>
      <c r="Y9" s="85">
        <v>0.15</v>
      </c>
      <c r="Z9" s="85">
        <v>0.15</v>
      </c>
      <c r="AA9" s="86">
        <f t="shared" si="5"/>
        <v>0</v>
      </c>
      <c r="AB9" s="86">
        <f t="shared" si="6"/>
        <v>0</v>
      </c>
    </row>
    <row r="10" spans="1:28" s="10" customFormat="1" x14ac:dyDescent="0.25">
      <c r="A10" s="85" t="s">
        <v>107</v>
      </c>
      <c r="B10" s="85" t="s">
        <v>108</v>
      </c>
      <c r="C10" s="85" t="s">
        <v>110</v>
      </c>
      <c r="D10" s="111"/>
      <c r="E10" s="111"/>
      <c r="F10" s="85">
        <v>15</v>
      </c>
      <c r="G10" s="85">
        <v>16</v>
      </c>
      <c r="H10" s="85">
        <v>99</v>
      </c>
      <c r="I10" s="85">
        <v>43.8</v>
      </c>
      <c r="J10" s="85">
        <v>117</v>
      </c>
      <c r="K10" s="85"/>
      <c r="L10" s="85"/>
      <c r="M10" s="85"/>
      <c r="N10" s="85"/>
      <c r="O10" s="85">
        <f t="shared" si="7"/>
        <v>99</v>
      </c>
      <c r="P10" s="50">
        <f t="shared" si="0"/>
        <v>0</v>
      </c>
      <c r="Q10" s="70">
        <f t="shared" si="1"/>
        <v>0</v>
      </c>
      <c r="R10" s="70">
        <f t="shared" si="2"/>
        <v>0</v>
      </c>
      <c r="S10" s="70">
        <f t="shared" si="3"/>
        <v>0</v>
      </c>
      <c r="T10" s="70">
        <f t="shared" si="4"/>
        <v>0</v>
      </c>
      <c r="U10" s="70">
        <f t="shared" si="8"/>
        <v>0</v>
      </c>
      <c r="V10" s="70">
        <f t="shared" si="9"/>
        <v>0</v>
      </c>
      <c r="W10" s="70">
        <f t="shared" si="10"/>
        <v>0</v>
      </c>
      <c r="X10" s="85"/>
      <c r="Y10" s="85">
        <v>0.15</v>
      </c>
      <c r="Z10" s="85">
        <v>0.15</v>
      </c>
      <c r="AA10" s="86">
        <f t="shared" si="5"/>
        <v>0</v>
      </c>
      <c r="AB10" s="86">
        <f t="shared" si="6"/>
        <v>0</v>
      </c>
    </row>
    <row r="11" spans="1:28" s="10" customFormat="1" ht="21" x14ac:dyDescent="0.25">
      <c r="A11" s="85" t="s">
        <v>107</v>
      </c>
      <c r="B11" s="85" t="s">
        <v>111</v>
      </c>
      <c r="C11" s="85" t="s">
        <v>109</v>
      </c>
      <c r="D11" s="111"/>
      <c r="E11" s="111"/>
      <c r="F11" s="85">
        <v>35</v>
      </c>
      <c r="G11" s="85">
        <v>7</v>
      </c>
      <c r="H11" s="85">
        <v>44</v>
      </c>
      <c r="I11" s="85">
        <v>9.8000000000000007</v>
      </c>
      <c r="J11" s="85">
        <v>26.1</v>
      </c>
      <c r="K11" s="85">
        <v>24.4</v>
      </c>
      <c r="L11" s="85">
        <v>55</v>
      </c>
      <c r="M11" s="85">
        <v>34</v>
      </c>
      <c r="N11" s="85">
        <v>90.9</v>
      </c>
      <c r="O11" s="85">
        <f t="shared" si="7"/>
        <v>99</v>
      </c>
      <c r="P11" s="50">
        <f t="shared" si="0"/>
        <v>0</v>
      </c>
      <c r="Q11" s="70">
        <f t="shared" si="1"/>
        <v>0</v>
      </c>
      <c r="R11" s="70">
        <f t="shared" si="2"/>
        <v>0</v>
      </c>
      <c r="S11" s="70">
        <f t="shared" si="3"/>
        <v>0</v>
      </c>
      <c r="T11" s="70">
        <f t="shared" si="4"/>
        <v>0</v>
      </c>
      <c r="U11" s="70">
        <f t="shared" si="8"/>
        <v>0</v>
      </c>
      <c r="V11" s="70">
        <f t="shared" si="9"/>
        <v>0</v>
      </c>
      <c r="W11" s="70">
        <f t="shared" si="10"/>
        <v>0</v>
      </c>
      <c r="X11" s="85"/>
      <c r="Y11" s="85">
        <v>0.15</v>
      </c>
      <c r="Z11" s="85">
        <v>0.15</v>
      </c>
      <c r="AA11" s="86">
        <f t="shared" si="5"/>
        <v>0</v>
      </c>
      <c r="AB11" s="86">
        <f t="shared" si="6"/>
        <v>0</v>
      </c>
    </row>
    <row r="12" spans="1:28" s="10" customFormat="1" ht="21" x14ac:dyDescent="0.25">
      <c r="A12" s="85" t="s">
        <v>107</v>
      </c>
      <c r="B12" s="85" t="s">
        <v>111</v>
      </c>
      <c r="C12" s="85" t="s">
        <v>141</v>
      </c>
      <c r="D12" s="111"/>
      <c r="E12" s="111"/>
      <c r="F12" s="85">
        <v>35</v>
      </c>
      <c r="G12" s="85"/>
      <c r="H12" s="85"/>
      <c r="I12" s="85"/>
      <c r="J12" s="85"/>
      <c r="K12" s="85">
        <v>31.4</v>
      </c>
      <c r="L12" s="85">
        <v>99</v>
      </c>
      <c r="M12" s="85">
        <v>43.8</v>
      </c>
      <c r="N12" s="85">
        <v>117</v>
      </c>
      <c r="O12" s="85">
        <f t="shared" si="7"/>
        <v>99</v>
      </c>
      <c r="P12" s="50">
        <f t="shared" si="0"/>
        <v>0</v>
      </c>
      <c r="Q12" s="70">
        <f t="shared" si="1"/>
        <v>0</v>
      </c>
      <c r="R12" s="70">
        <f t="shared" si="2"/>
        <v>0</v>
      </c>
      <c r="S12" s="70">
        <f t="shared" si="3"/>
        <v>0</v>
      </c>
      <c r="T12" s="70">
        <f t="shared" si="4"/>
        <v>0</v>
      </c>
      <c r="U12" s="70">
        <f t="shared" si="8"/>
        <v>0</v>
      </c>
      <c r="V12" s="70">
        <f t="shared" si="9"/>
        <v>0</v>
      </c>
      <c r="W12" s="70">
        <f t="shared" si="10"/>
        <v>0</v>
      </c>
      <c r="X12" s="85"/>
      <c r="Y12" s="85">
        <v>0.15</v>
      </c>
      <c r="Z12" s="85">
        <v>0.15</v>
      </c>
      <c r="AA12" s="86">
        <f t="shared" si="5"/>
        <v>0</v>
      </c>
      <c r="AB12" s="86">
        <f t="shared" si="6"/>
        <v>0</v>
      </c>
    </row>
    <row r="13" spans="1:28" s="10" customFormat="1" x14ac:dyDescent="0.25">
      <c r="A13" s="194" t="s">
        <v>107</v>
      </c>
      <c r="B13" s="194" t="s">
        <v>111</v>
      </c>
      <c r="C13" s="194" t="s">
        <v>110</v>
      </c>
      <c r="D13" s="192"/>
      <c r="E13" s="192"/>
      <c r="F13" s="195">
        <v>35</v>
      </c>
      <c r="G13" s="195">
        <v>16</v>
      </c>
      <c r="H13" s="195">
        <v>99</v>
      </c>
      <c r="I13" s="195">
        <v>43.8</v>
      </c>
      <c r="J13" s="195">
        <v>26.1</v>
      </c>
      <c r="K13" s="195">
        <v>24.4</v>
      </c>
      <c r="L13" s="195">
        <v>55</v>
      </c>
      <c r="M13" s="195">
        <v>34</v>
      </c>
      <c r="N13" s="195">
        <v>90.9</v>
      </c>
      <c r="O13" s="195">
        <f t="shared" si="7"/>
        <v>154</v>
      </c>
      <c r="P13" s="50">
        <f t="shared" si="0"/>
        <v>0</v>
      </c>
      <c r="Q13" s="70">
        <f t="shared" si="1"/>
        <v>0</v>
      </c>
      <c r="R13" s="70">
        <f t="shared" si="2"/>
        <v>0</v>
      </c>
      <c r="S13" s="70">
        <f t="shared" si="3"/>
        <v>0</v>
      </c>
      <c r="T13" s="70">
        <f t="shared" si="4"/>
        <v>0</v>
      </c>
      <c r="U13" s="70">
        <f t="shared" si="8"/>
        <v>0</v>
      </c>
      <c r="V13" s="70">
        <f t="shared" si="9"/>
        <v>0</v>
      </c>
      <c r="W13" s="70">
        <f t="shared" si="10"/>
        <v>0</v>
      </c>
      <c r="X13" s="195"/>
      <c r="Y13" s="195">
        <v>0.15</v>
      </c>
      <c r="Z13" s="195">
        <v>0.15</v>
      </c>
      <c r="AA13" s="196">
        <f t="shared" si="5"/>
        <v>0</v>
      </c>
      <c r="AB13" s="196">
        <f t="shared" si="6"/>
        <v>0</v>
      </c>
    </row>
    <row r="14" spans="1:28" s="10" customFormat="1" ht="21" x14ac:dyDescent="0.25">
      <c r="A14" s="85" t="s">
        <v>112</v>
      </c>
      <c r="B14" s="85" t="s">
        <v>113</v>
      </c>
      <c r="C14" s="85" t="s">
        <v>109</v>
      </c>
      <c r="D14" s="111"/>
      <c r="E14" s="111"/>
      <c r="F14" s="85">
        <v>50</v>
      </c>
      <c r="G14" s="85">
        <v>7</v>
      </c>
      <c r="H14" s="85">
        <v>44</v>
      </c>
      <c r="I14" s="85">
        <v>9.8000000000000007</v>
      </c>
      <c r="J14" s="85">
        <v>26.1</v>
      </c>
      <c r="K14" s="85">
        <v>24.4</v>
      </c>
      <c r="L14" s="85">
        <v>55</v>
      </c>
      <c r="M14" s="85">
        <v>34</v>
      </c>
      <c r="N14" s="85">
        <v>90.9</v>
      </c>
      <c r="O14" s="85">
        <f t="shared" si="7"/>
        <v>99</v>
      </c>
      <c r="P14" s="50">
        <f t="shared" si="0"/>
        <v>0</v>
      </c>
      <c r="Q14" s="70">
        <f t="shared" si="1"/>
        <v>0</v>
      </c>
      <c r="R14" s="70">
        <f t="shared" si="2"/>
        <v>0</v>
      </c>
      <c r="S14" s="70">
        <f t="shared" si="3"/>
        <v>0</v>
      </c>
      <c r="T14" s="70">
        <f t="shared" si="4"/>
        <v>0</v>
      </c>
      <c r="U14" s="70">
        <f t="shared" si="8"/>
        <v>0</v>
      </c>
      <c r="V14" s="70">
        <f t="shared" si="9"/>
        <v>0</v>
      </c>
      <c r="W14" s="70">
        <f t="shared" si="10"/>
        <v>0</v>
      </c>
      <c r="X14" s="85"/>
      <c r="Y14" s="85">
        <v>0.15</v>
      </c>
      <c r="Z14" s="85">
        <v>0.15</v>
      </c>
      <c r="AA14" s="86">
        <f t="shared" si="5"/>
        <v>0</v>
      </c>
      <c r="AB14" s="86">
        <f t="shared" si="6"/>
        <v>0</v>
      </c>
    </row>
    <row r="15" spans="1:28" s="10" customFormat="1" ht="21" x14ac:dyDescent="0.25">
      <c r="A15" s="85" t="s">
        <v>112</v>
      </c>
      <c r="B15" s="85" t="s">
        <v>113</v>
      </c>
      <c r="C15" s="85" t="s">
        <v>141</v>
      </c>
      <c r="D15" s="111"/>
      <c r="E15" s="111"/>
      <c r="F15" s="85">
        <v>50</v>
      </c>
      <c r="G15" s="85"/>
      <c r="H15" s="85"/>
      <c r="I15" s="85"/>
      <c r="J15" s="85"/>
      <c r="K15" s="85">
        <v>31.4</v>
      </c>
      <c r="L15" s="85">
        <v>99</v>
      </c>
      <c r="M15" s="85">
        <v>43.8</v>
      </c>
      <c r="N15" s="85">
        <v>117</v>
      </c>
      <c r="O15" s="85">
        <f t="shared" si="7"/>
        <v>99</v>
      </c>
      <c r="P15" s="50">
        <f t="shared" si="0"/>
        <v>0</v>
      </c>
      <c r="Q15" s="70">
        <f t="shared" si="1"/>
        <v>0</v>
      </c>
      <c r="R15" s="70">
        <f t="shared" si="2"/>
        <v>0</v>
      </c>
      <c r="S15" s="70">
        <f t="shared" si="3"/>
        <v>0</v>
      </c>
      <c r="T15" s="70">
        <f t="shared" si="4"/>
        <v>0</v>
      </c>
      <c r="U15" s="70">
        <f t="shared" si="8"/>
        <v>0</v>
      </c>
      <c r="V15" s="70">
        <f t="shared" si="9"/>
        <v>0</v>
      </c>
      <c r="W15" s="70">
        <f t="shared" si="10"/>
        <v>0</v>
      </c>
      <c r="X15" s="85"/>
      <c r="Y15" s="85">
        <v>0.15</v>
      </c>
      <c r="Z15" s="85">
        <v>0.15</v>
      </c>
      <c r="AA15" s="86">
        <f t="shared" si="5"/>
        <v>0</v>
      </c>
      <c r="AB15" s="86">
        <f t="shared" si="6"/>
        <v>0</v>
      </c>
    </row>
    <row r="16" spans="1:28" s="10" customFormat="1" x14ac:dyDescent="0.25">
      <c r="A16" s="85" t="s">
        <v>112</v>
      </c>
      <c r="B16" s="85" t="s">
        <v>113</v>
      </c>
      <c r="C16" s="85" t="s">
        <v>110</v>
      </c>
      <c r="D16" s="111"/>
      <c r="E16" s="111"/>
      <c r="F16" s="85">
        <v>50</v>
      </c>
      <c r="G16" s="85">
        <v>16</v>
      </c>
      <c r="H16" s="85">
        <v>99</v>
      </c>
      <c r="I16" s="85">
        <v>43.8</v>
      </c>
      <c r="J16" s="85">
        <v>117</v>
      </c>
      <c r="K16" s="85"/>
      <c r="L16" s="85"/>
      <c r="M16" s="85"/>
      <c r="N16" s="85"/>
      <c r="O16" s="85">
        <f t="shared" si="7"/>
        <v>99</v>
      </c>
      <c r="P16" s="50">
        <f t="shared" si="0"/>
        <v>0</v>
      </c>
      <c r="Q16" s="70">
        <f t="shared" si="1"/>
        <v>0</v>
      </c>
      <c r="R16" s="70">
        <f t="shared" si="2"/>
        <v>0</v>
      </c>
      <c r="S16" s="70">
        <f t="shared" si="3"/>
        <v>0</v>
      </c>
      <c r="T16" s="70">
        <f t="shared" si="4"/>
        <v>0</v>
      </c>
      <c r="U16" s="70">
        <f t="shared" si="8"/>
        <v>0</v>
      </c>
      <c r="V16" s="70">
        <f t="shared" si="9"/>
        <v>0</v>
      </c>
      <c r="W16" s="70">
        <f t="shared" si="10"/>
        <v>0</v>
      </c>
      <c r="X16" s="85"/>
      <c r="Y16" s="85">
        <v>0.15</v>
      </c>
      <c r="Z16" s="85">
        <v>0.15</v>
      </c>
      <c r="AA16" s="86">
        <f t="shared" si="5"/>
        <v>0</v>
      </c>
      <c r="AB16" s="86">
        <f t="shared" si="6"/>
        <v>0</v>
      </c>
    </row>
    <row r="17" spans="1:28" s="130" customFormat="1" ht="12.75" x14ac:dyDescent="0.2">
      <c r="A17" s="128" t="s">
        <v>144</v>
      </c>
      <c r="B17" s="129"/>
      <c r="C17" s="129"/>
      <c r="D17" s="131">
        <f>SUM(D8:D16)</f>
        <v>0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2">
        <f t="shared" ref="P17:W17" si="11">SUM(P8:P16)</f>
        <v>0</v>
      </c>
      <c r="Q17" s="132">
        <f t="shared" si="11"/>
        <v>0</v>
      </c>
      <c r="R17" s="132">
        <f t="shared" si="11"/>
        <v>0</v>
      </c>
      <c r="S17" s="132">
        <f t="shared" si="11"/>
        <v>0</v>
      </c>
      <c r="T17" s="132">
        <f t="shared" si="11"/>
        <v>0</v>
      </c>
      <c r="U17" s="132">
        <f t="shared" si="11"/>
        <v>0</v>
      </c>
      <c r="V17" s="132">
        <f t="shared" si="11"/>
        <v>0</v>
      </c>
      <c r="W17" s="132">
        <f t="shared" si="11"/>
        <v>0</v>
      </c>
      <c r="X17" s="133"/>
      <c r="Y17" s="133"/>
      <c r="Z17" s="133"/>
      <c r="AA17" s="132">
        <f>SUM(AA8:AA16)</f>
        <v>0</v>
      </c>
      <c r="AB17" s="132">
        <f>SUM(AB8:AB16)</f>
        <v>0</v>
      </c>
    </row>
    <row r="20" spans="1:28" x14ac:dyDescent="0.25">
      <c r="A20" s="193"/>
      <c r="B20" s="593" t="s">
        <v>461</v>
      </c>
      <c r="C20" s="593"/>
    </row>
  </sheetData>
  <sheetProtection sheet="1"/>
  <mergeCells count="1">
    <mergeCell ref="B20:C20"/>
  </mergeCells>
  <phoneticPr fontId="7" type="noConversion"/>
  <pageMargins left="0.31496062992125984" right="0.23622047244094491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3"/>
  <dimension ref="A1:AD117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ColWidth="8.85546875" defaultRowHeight="15" x14ac:dyDescent="0.25"/>
  <cols>
    <col min="1" max="1" width="16.28515625" style="10" customWidth="1"/>
    <col min="2" max="2" width="23" style="10" customWidth="1"/>
    <col min="3" max="3" width="26.7109375" style="52" customWidth="1"/>
    <col min="4" max="4" width="9.7109375" style="10" customWidth="1"/>
    <col min="5" max="5" width="9.140625" style="10" customWidth="1"/>
    <col min="6" max="6" width="8.85546875" style="10" customWidth="1"/>
    <col min="7" max="10" width="8.85546875" style="10" hidden="1" customWidth="1"/>
    <col min="11" max="17" width="9.140625" style="10" hidden="1" customWidth="1"/>
    <col min="18" max="18" width="9.140625" style="10" customWidth="1"/>
    <col min="19" max="19" width="10.42578125" style="10" customWidth="1"/>
    <col min="20" max="20" width="11.42578125" style="10" customWidth="1"/>
    <col min="21" max="21" width="10.42578125" style="10" customWidth="1"/>
    <col min="22" max="22" width="10.85546875" style="10" customWidth="1"/>
    <col min="23" max="23" width="11.28515625" style="10" customWidth="1"/>
    <col min="24" max="24" width="10.5703125" style="52" customWidth="1"/>
    <col min="25" max="25" width="9.140625" style="52" customWidth="1"/>
    <col min="26" max="28" width="9.140625" style="10" hidden="1" customWidth="1"/>
    <col min="29" max="29" width="9.42578125" style="10" bestFit="1" customWidth="1"/>
    <col min="30" max="30" width="9.140625" style="10" customWidth="1"/>
    <col min="31" max="16384" width="8.85546875" style="10"/>
  </cols>
  <sheetData>
    <row r="1" spans="1:30" x14ac:dyDescent="0.25">
      <c r="A1" s="9" t="s">
        <v>215</v>
      </c>
    </row>
    <row r="2" spans="1:30" x14ac:dyDescent="0.25">
      <c r="A2" s="4" t="s">
        <v>146</v>
      </c>
    </row>
    <row r="3" spans="1:30" x14ac:dyDescent="0.25">
      <c r="A3" s="4" t="s">
        <v>169</v>
      </c>
    </row>
    <row r="4" spans="1:30" x14ac:dyDescent="0.25">
      <c r="A4" s="15" t="s">
        <v>216</v>
      </c>
    </row>
    <row r="5" spans="1:30" x14ac:dyDescent="0.25">
      <c r="A5" s="190" t="s">
        <v>448</v>
      </c>
    </row>
    <row r="7" spans="1:30" s="73" customFormat="1" ht="84" customHeight="1" x14ac:dyDescent="0.2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297</v>
      </c>
      <c r="H7" s="1" t="s">
        <v>294</v>
      </c>
      <c r="I7" s="1" t="s">
        <v>295</v>
      </c>
      <c r="J7" s="1" t="s">
        <v>296</v>
      </c>
      <c r="K7" s="1" t="s">
        <v>298</v>
      </c>
      <c r="L7" s="1" t="s">
        <v>299</v>
      </c>
      <c r="M7" s="1" t="s">
        <v>300</v>
      </c>
      <c r="N7" s="1" t="s">
        <v>301</v>
      </c>
      <c r="O7" s="1" t="s">
        <v>302</v>
      </c>
      <c r="P7" s="1" t="s">
        <v>446</v>
      </c>
      <c r="Q7" s="1" t="s">
        <v>447</v>
      </c>
      <c r="R7" s="1" t="s">
        <v>165</v>
      </c>
      <c r="S7" s="68" t="s">
        <v>147</v>
      </c>
      <c r="T7" s="68" t="s">
        <v>148</v>
      </c>
      <c r="U7" s="68" t="s">
        <v>274</v>
      </c>
      <c r="V7" s="68" t="s">
        <v>275</v>
      </c>
      <c r="W7" s="68" t="s">
        <v>306</v>
      </c>
      <c r="X7" s="68" t="s">
        <v>425</v>
      </c>
      <c r="Y7" s="68" t="s">
        <v>416</v>
      </c>
      <c r="Z7" s="68" t="s">
        <v>225</v>
      </c>
      <c r="AA7" s="68" t="s">
        <v>226</v>
      </c>
      <c r="AB7" s="68" t="s">
        <v>265</v>
      </c>
      <c r="AC7" s="68" t="s">
        <v>266</v>
      </c>
      <c r="AD7" s="68" t="s">
        <v>268</v>
      </c>
    </row>
    <row r="8" spans="1:30" ht="31.5" x14ac:dyDescent="0.25">
      <c r="A8" s="85" t="s">
        <v>253</v>
      </c>
      <c r="B8" s="85" t="s">
        <v>20</v>
      </c>
      <c r="C8" s="85" t="s">
        <v>23</v>
      </c>
      <c r="D8" s="111"/>
      <c r="E8" s="111"/>
      <c r="F8" s="85">
        <v>13</v>
      </c>
      <c r="G8" s="85">
        <v>37</v>
      </c>
      <c r="H8" s="85">
        <v>101</v>
      </c>
      <c r="I8" s="85">
        <v>67.3</v>
      </c>
      <c r="J8" s="85">
        <v>119</v>
      </c>
      <c r="K8" s="85"/>
      <c r="L8" s="85"/>
      <c r="M8" s="85"/>
      <c r="N8" s="85"/>
      <c r="O8" s="85">
        <f>L8+H8</f>
        <v>101</v>
      </c>
      <c r="P8" s="85">
        <f>I8+M8</f>
        <v>67.3</v>
      </c>
      <c r="Q8" s="85">
        <f>J8+N8</f>
        <v>119</v>
      </c>
      <c r="R8" s="50">
        <f>IF(E8="SI", D8*F8/1000*K8, 0)</f>
        <v>0</v>
      </c>
      <c r="S8" s="70">
        <f>(D8*F8/1000*G8)+R8</f>
        <v>0</v>
      </c>
      <c r="T8" s="70">
        <f>(D8*F8/1000*K8)-R8</f>
        <v>0</v>
      </c>
      <c r="U8" s="70">
        <f>IF(R8=0,H8*D8*F8/1000,((H8*D8*F8/1000)+(L8*D8*F8/1000)))</f>
        <v>0</v>
      </c>
      <c r="V8" s="70">
        <f>IF(R8=0, L8*D8*F8/1000, 0)</f>
        <v>0</v>
      </c>
      <c r="W8" s="70">
        <f>D8*F8/1000</f>
        <v>0</v>
      </c>
      <c r="X8" s="345">
        <f>IF(R8=0,D8*F8/1000*I8+D8*F8/1000*M8,(I8*D8*F8/1000)+(M8*D8*F8/1000))</f>
        <v>0</v>
      </c>
      <c r="Y8" s="345">
        <f>IF(R8=0,D8*F8/1000*J8+D8*F8/1000*N8,(J8*D8*F8/1000)+(N8*D8*F8/1000))</f>
        <v>0</v>
      </c>
      <c r="Z8" s="85"/>
      <c r="AA8" s="85">
        <v>0.3</v>
      </c>
      <c r="AB8" s="85">
        <v>0</v>
      </c>
      <c r="AC8" s="86">
        <f t="shared" ref="AC8:AC39" si="0">AA8*D8</f>
        <v>0</v>
      </c>
      <c r="AD8" s="86">
        <f t="shared" ref="AD8:AD39" si="1">AB8*D8</f>
        <v>0</v>
      </c>
    </row>
    <row r="9" spans="1:30" ht="31.5" x14ac:dyDescent="0.25">
      <c r="A9" s="85" t="s">
        <v>253</v>
      </c>
      <c r="B9" s="85" t="s">
        <v>20</v>
      </c>
      <c r="C9" s="85" t="s">
        <v>22</v>
      </c>
      <c r="D9" s="111"/>
      <c r="E9" s="111"/>
      <c r="F9" s="85">
        <v>13</v>
      </c>
      <c r="G9" s="85">
        <v>44</v>
      </c>
      <c r="H9" s="85">
        <v>101</v>
      </c>
      <c r="I9" s="85">
        <v>67.3</v>
      </c>
      <c r="J9" s="85">
        <v>119</v>
      </c>
      <c r="K9" s="85"/>
      <c r="L9" s="85"/>
      <c r="M9" s="85"/>
      <c r="N9" s="85"/>
      <c r="O9" s="85">
        <f t="shared" ref="O9:O83" si="2">L9+H9</f>
        <v>101</v>
      </c>
      <c r="P9" s="85">
        <f t="shared" ref="P9:P72" si="3">I9+M9</f>
        <v>67.3</v>
      </c>
      <c r="Q9" s="85">
        <f t="shared" ref="Q9:Q72" si="4">J9+N9</f>
        <v>119</v>
      </c>
      <c r="R9" s="50">
        <f t="shared" ref="R9:R83" si="5">IF(E9="SI", D9*F9/1000*K9, 0)</f>
        <v>0</v>
      </c>
      <c r="S9" s="70">
        <f t="shared" ref="S9:S83" si="6">(D9*F9/1000*G9)+R9</f>
        <v>0</v>
      </c>
      <c r="T9" s="70">
        <f t="shared" ref="T9:T83" si="7">(D9*F9/1000*K9)-R9</f>
        <v>0</v>
      </c>
      <c r="U9" s="70">
        <f t="shared" ref="U9:U83" si="8">IF(R9=0,H9*D9*F9/1000,((H9*D9*F9/1000)+(L9*D9*F9/1000)))</f>
        <v>0</v>
      </c>
      <c r="V9" s="70">
        <f t="shared" ref="V9:V83" si="9">IF(R9=0, L9*D9*F9/1000, 0)</f>
        <v>0</v>
      </c>
      <c r="W9" s="70">
        <f t="shared" ref="W9:W83" si="10">D9*F9/1000</f>
        <v>0</v>
      </c>
      <c r="X9" s="345">
        <f t="shared" ref="X9:X83" si="11">IF(R9=0,D9*F9/1000*I9+D9*F9/1000*M9,(I9*D9*F9/1000)+(M9*D9*F9/1000))</f>
        <v>0</v>
      </c>
      <c r="Y9" s="345">
        <f t="shared" ref="Y9:Y83" si="12">IF(R9=0,D9*F9/1000*J9+D9*F9/1000*N9,(J9*D9*F9/1000)+(N9*D9*F9/1000))</f>
        <v>0</v>
      </c>
      <c r="Z9" s="85"/>
      <c r="AA9" s="85">
        <v>0.3</v>
      </c>
      <c r="AB9" s="85">
        <v>0</v>
      </c>
      <c r="AC9" s="86">
        <f t="shared" si="0"/>
        <v>0</v>
      </c>
      <c r="AD9" s="86">
        <f t="shared" si="1"/>
        <v>0</v>
      </c>
    </row>
    <row r="10" spans="1:30" ht="42" x14ac:dyDescent="0.25">
      <c r="A10" s="85" t="s">
        <v>253</v>
      </c>
      <c r="B10" s="85" t="s">
        <v>20</v>
      </c>
      <c r="C10" s="85" t="s">
        <v>21</v>
      </c>
      <c r="D10" s="111"/>
      <c r="E10" s="111"/>
      <c r="F10" s="85">
        <v>13</v>
      </c>
      <c r="G10" s="85">
        <v>73</v>
      </c>
      <c r="H10" s="85">
        <v>101</v>
      </c>
      <c r="I10" s="85">
        <v>67.3</v>
      </c>
      <c r="J10" s="85">
        <v>119</v>
      </c>
      <c r="K10" s="85"/>
      <c r="L10" s="85"/>
      <c r="M10" s="85"/>
      <c r="N10" s="85"/>
      <c r="O10" s="85">
        <f t="shared" si="2"/>
        <v>101</v>
      </c>
      <c r="P10" s="85">
        <f t="shared" si="3"/>
        <v>67.3</v>
      </c>
      <c r="Q10" s="85">
        <f t="shared" si="4"/>
        <v>119</v>
      </c>
      <c r="R10" s="50">
        <f t="shared" si="5"/>
        <v>0</v>
      </c>
      <c r="S10" s="70">
        <f t="shared" si="6"/>
        <v>0</v>
      </c>
      <c r="T10" s="70">
        <f t="shared" si="7"/>
        <v>0</v>
      </c>
      <c r="U10" s="70">
        <f t="shared" si="8"/>
        <v>0</v>
      </c>
      <c r="V10" s="70">
        <f t="shared" si="9"/>
        <v>0</v>
      </c>
      <c r="W10" s="70">
        <f t="shared" si="10"/>
        <v>0</v>
      </c>
      <c r="X10" s="345">
        <f t="shared" si="11"/>
        <v>0</v>
      </c>
      <c r="Y10" s="345">
        <f t="shared" si="12"/>
        <v>0</v>
      </c>
      <c r="Z10" s="85"/>
      <c r="AA10" s="85">
        <v>0.3</v>
      </c>
      <c r="AB10" s="85">
        <v>0</v>
      </c>
      <c r="AC10" s="86">
        <f t="shared" si="0"/>
        <v>0</v>
      </c>
      <c r="AD10" s="86">
        <f t="shared" si="1"/>
        <v>0</v>
      </c>
    </row>
    <row r="11" spans="1:30" ht="31.5" x14ac:dyDescent="0.25">
      <c r="A11" s="85" t="s">
        <v>253</v>
      </c>
      <c r="B11" s="85" t="s">
        <v>20</v>
      </c>
      <c r="C11" s="85" t="s">
        <v>26</v>
      </c>
      <c r="D11" s="111"/>
      <c r="E11" s="111"/>
      <c r="F11" s="85">
        <v>13</v>
      </c>
      <c r="G11" s="85"/>
      <c r="H11" s="85"/>
      <c r="I11" s="85"/>
      <c r="J11" s="85"/>
      <c r="K11" s="85">
        <v>31.2</v>
      </c>
      <c r="L11" s="85">
        <v>101</v>
      </c>
      <c r="M11" s="85">
        <v>67.3</v>
      </c>
      <c r="N11" s="85">
        <v>119</v>
      </c>
      <c r="O11" s="85">
        <f t="shared" si="2"/>
        <v>101</v>
      </c>
      <c r="P11" s="85">
        <f t="shared" si="3"/>
        <v>67.3</v>
      </c>
      <c r="Q11" s="85">
        <f t="shared" si="4"/>
        <v>119</v>
      </c>
      <c r="R11" s="50">
        <f t="shared" si="5"/>
        <v>0</v>
      </c>
      <c r="S11" s="70">
        <f t="shared" si="6"/>
        <v>0</v>
      </c>
      <c r="T11" s="70">
        <f t="shared" si="7"/>
        <v>0</v>
      </c>
      <c r="U11" s="70">
        <f t="shared" si="8"/>
        <v>0</v>
      </c>
      <c r="V11" s="70">
        <f t="shared" si="9"/>
        <v>0</v>
      </c>
      <c r="W11" s="70">
        <f t="shared" si="10"/>
        <v>0</v>
      </c>
      <c r="X11" s="345">
        <f t="shared" si="11"/>
        <v>0</v>
      </c>
      <c r="Y11" s="345">
        <f t="shared" si="12"/>
        <v>0</v>
      </c>
      <c r="Z11" s="85"/>
      <c r="AA11" s="85">
        <v>0.3</v>
      </c>
      <c r="AB11" s="85">
        <v>0</v>
      </c>
      <c r="AC11" s="86">
        <f t="shared" si="0"/>
        <v>0</v>
      </c>
      <c r="AD11" s="86">
        <f t="shared" si="1"/>
        <v>0</v>
      </c>
    </row>
    <row r="12" spans="1:30" ht="63" x14ac:dyDescent="0.25">
      <c r="A12" s="85" t="s">
        <v>253</v>
      </c>
      <c r="B12" s="85" t="s">
        <v>20</v>
      </c>
      <c r="C12" s="85" t="s">
        <v>25</v>
      </c>
      <c r="D12" s="111"/>
      <c r="E12" s="111"/>
      <c r="F12" s="85">
        <v>13</v>
      </c>
      <c r="G12" s="85">
        <v>37</v>
      </c>
      <c r="H12" s="85">
        <v>101</v>
      </c>
      <c r="I12" s="85">
        <v>67.3</v>
      </c>
      <c r="J12" s="85">
        <v>119</v>
      </c>
      <c r="K12" s="85"/>
      <c r="L12" s="85"/>
      <c r="M12" s="85"/>
      <c r="N12" s="85"/>
      <c r="O12" s="85">
        <f t="shared" si="2"/>
        <v>101</v>
      </c>
      <c r="P12" s="85">
        <f t="shared" si="3"/>
        <v>67.3</v>
      </c>
      <c r="Q12" s="85">
        <f t="shared" si="4"/>
        <v>119</v>
      </c>
      <c r="R12" s="50">
        <f t="shared" si="5"/>
        <v>0</v>
      </c>
      <c r="S12" s="70">
        <f t="shared" si="6"/>
        <v>0</v>
      </c>
      <c r="T12" s="70">
        <f t="shared" si="7"/>
        <v>0</v>
      </c>
      <c r="U12" s="70">
        <f t="shared" si="8"/>
        <v>0</v>
      </c>
      <c r="V12" s="70">
        <f t="shared" si="9"/>
        <v>0</v>
      </c>
      <c r="W12" s="70">
        <f t="shared" si="10"/>
        <v>0</v>
      </c>
      <c r="X12" s="345">
        <f t="shared" si="11"/>
        <v>0</v>
      </c>
      <c r="Y12" s="345">
        <f t="shared" si="12"/>
        <v>0</v>
      </c>
      <c r="Z12" s="85"/>
      <c r="AA12" s="85">
        <v>0.3</v>
      </c>
      <c r="AB12" s="85">
        <v>0</v>
      </c>
      <c r="AC12" s="86">
        <f t="shared" si="0"/>
        <v>0</v>
      </c>
      <c r="AD12" s="86">
        <f t="shared" si="1"/>
        <v>0</v>
      </c>
    </row>
    <row r="13" spans="1:30" ht="42" x14ac:dyDescent="0.25">
      <c r="A13" s="85" t="s">
        <v>253</v>
      </c>
      <c r="B13" s="85" t="s">
        <v>20</v>
      </c>
      <c r="C13" s="85" t="s">
        <v>24</v>
      </c>
      <c r="D13" s="111"/>
      <c r="E13" s="111"/>
      <c r="F13" s="85">
        <v>13</v>
      </c>
      <c r="G13" s="85">
        <v>55</v>
      </c>
      <c r="H13" s="85">
        <v>101</v>
      </c>
      <c r="I13" s="85">
        <v>67.3</v>
      </c>
      <c r="J13" s="85">
        <v>119</v>
      </c>
      <c r="K13" s="85"/>
      <c r="L13" s="85"/>
      <c r="M13" s="85"/>
      <c r="N13" s="85"/>
      <c r="O13" s="85">
        <f t="shared" si="2"/>
        <v>101</v>
      </c>
      <c r="P13" s="85">
        <f t="shared" si="3"/>
        <v>67.3</v>
      </c>
      <c r="Q13" s="85">
        <f t="shared" si="4"/>
        <v>119</v>
      </c>
      <c r="R13" s="50">
        <f t="shared" si="5"/>
        <v>0</v>
      </c>
      <c r="S13" s="70">
        <f t="shared" si="6"/>
        <v>0</v>
      </c>
      <c r="T13" s="70">
        <f t="shared" si="7"/>
        <v>0</v>
      </c>
      <c r="U13" s="70">
        <f t="shared" si="8"/>
        <v>0</v>
      </c>
      <c r="V13" s="70">
        <f t="shared" si="9"/>
        <v>0</v>
      </c>
      <c r="W13" s="70">
        <f t="shared" si="10"/>
        <v>0</v>
      </c>
      <c r="X13" s="345">
        <f t="shared" si="11"/>
        <v>0</v>
      </c>
      <c r="Y13" s="345">
        <f t="shared" si="12"/>
        <v>0</v>
      </c>
      <c r="Z13" s="85"/>
      <c r="AA13" s="85">
        <v>0.3</v>
      </c>
      <c r="AB13" s="85">
        <v>0</v>
      </c>
      <c r="AC13" s="86">
        <f t="shared" si="0"/>
        <v>0</v>
      </c>
      <c r="AD13" s="86">
        <f t="shared" si="1"/>
        <v>0</v>
      </c>
    </row>
    <row r="14" spans="1:30" ht="31.5" x14ac:dyDescent="0.25">
      <c r="A14" s="85" t="s">
        <v>256</v>
      </c>
      <c r="B14" s="85" t="s">
        <v>20</v>
      </c>
      <c r="C14" s="85" t="s">
        <v>23</v>
      </c>
      <c r="D14" s="111"/>
      <c r="E14" s="111"/>
      <c r="F14" s="85">
        <v>25</v>
      </c>
      <c r="G14" s="85">
        <v>37</v>
      </c>
      <c r="H14" s="85">
        <v>101</v>
      </c>
      <c r="I14" s="85">
        <v>67.3</v>
      </c>
      <c r="J14" s="85">
        <v>119</v>
      </c>
      <c r="K14" s="85"/>
      <c r="L14" s="85"/>
      <c r="M14" s="85"/>
      <c r="N14" s="85"/>
      <c r="O14" s="85">
        <f t="shared" si="2"/>
        <v>101</v>
      </c>
      <c r="P14" s="85">
        <f t="shared" si="3"/>
        <v>67.3</v>
      </c>
      <c r="Q14" s="85">
        <f t="shared" si="4"/>
        <v>119</v>
      </c>
      <c r="R14" s="50">
        <f t="shared" si="5"/>
        <v>0</v>
      </c>
      <c r="S14" s="70">
        <f t="shared" si="6"/>
        <v>0</v>
      </c>
      <c r="T14" s="70">
        <f t="shared" si="7"/>
        <v>0</v>
      </c>
      <c r="U14" s="70">
        <f t="shared" si="8"/>
        <v>0</v>
      </c>
      <c r="V14" s="70">
        <f t="shared" si="9"/>
        <v>0</v>
      </c>
      <c r="W14" s="70">
        <f t="shared" si="10"/>
        <v>0</v>
      </c>
      <c r="X14" s="345">
        <f t="shared" si="11"/>
        <v>0</v>
      </c>
      <c r="Y14" s="345">
        <f t="shared" si="12"/>
        <v>0</v>
      </c>
      <c r="Z14" s="85"/>
      <c r="AA14" s="85">
        <v>0.3</v>
      </c>
      <c r="AB14" s="85">
        <v>0</v>
      </c>
      <c r="AC14" s="86">
        <f t="shared" si="0"/>
        <v>0</v>
      </c>
      <c r="AD14" s="86">
        <f t="shared" si="1"/>
        <v>0</v>
      </c>
    </row>
    <row r="15" spans="1:30" ht="31.5" x14ac:dyDescent="0.25">
      <c r="A15" s="85" t="s">
        <v>256</v>
      </c>
      <c r="B15" s="85" t="s">
        <v>20</v>
      </c>
      <c r="C15" s="85" t="s">
        <v>22</v>
      </c>
      <c r="D15" s="111"/>
      <c r="E15" s="111"/>
      <c r="F15" s="85">
        <v>25</v>
      </c>
      <c r="G15" s="85">
        <v>44</v>
      </c>
      <c r="H15" s="85">
        <v>101</v>
      </c>
      <c r="I15" s="85">
        <v>67.3</v>
      </c>
      <c r="J15" s="85">
        <v>119</v>
      </c>
      <c r="K15" s="85"/>
      <c r="L15" s="85"/>
      <c r="M15" s="85"/>
      <c r="N15" s="85"/>
      <c r="O15" s="85">
        <f t="shared" si="2"/>
        <v>101</v>
      </c>
      <c r="P15" s="85">
        <f t="shared" si="3"/>
        <v>67.3</v>
      </c>
      <c r="Q15" s="85">
        <f t="shared" si="4"/>
        <v>119</v>
      </c>
      <c r="R15" s="50">
        <f t="shared" si="5"/>
        <v>0</v>
      </c>
      <c r="S15" s="70">
        <f t="shared" si="6"/>
        <v>0</v>
      </c>
      <c r="T15" s="70">
        <f t="shared" si="7"/>
        <v>0</v>
      </c>
      <c r="U15" s="70">
        <f t="shared" si="8"/>
        <v>0</v>
      </c>
      <c r="V15" s="70">
        <f t="shared" si="9"/>
        <v>0</v>
      </c>
      <c r="W15" s="70">
        <f t="shared" si="10"/>
        <v>0</v>
      </c>
      <c r="X15" s="345">
        <f t="shared" si="11"/>
        <v>0</v>
      </c>
      <c r="Y15" s="345">
        <f t="shared" si="12"/>
        <v>0</v>
      </c>
      <c r="Z15" s="85"/>
      <c r="AA15" s="85">
        <v>0.3</v>
      </c>
      <c r="AB15" s="85">
        <v>0</v>
      </c>
      <c r="AC15" s="86">
        <f t="shared" si="0"/>
        <v>0</v>
      </c>
      <c r="AD15" s="86">
        <f t="shared" si="1"/>
        <v>0</v>
      </c>
    </row>
    <row r="16" spans="1:30" ht="42" x14ac:dyDescent="0.25">
      <c r="A16" s="85" t="s">
        <v>256</v>
      </c>
      <c r="B16" s="85" t="s">
        <v>20</v>
      </c>
      <c r="C16" s="85" t="s">
        <v>21</v>
      </c>
      <c r="D16" s="111"/>
      <c r="E16" s="111"/>
      <c r="F16" s="85">
        <v>25</v>
      </c>
      <c r="G16" s="85">
        <v>73</v>
      </c>
      <c r="H16" s="85">
        <v>101</v>
      </c>
      <c r="I16" s="85">
        <v>67.3</v>
      </c>
      <c r="J16" s="85">
        <v>119</v>
      </c>
      <c r="K16" s="85"/>
      <c r="L16" s="85"/>
      <c r="M16" s="85"/>
      <c r="N16" s="85"/>
      <c r="O16" s="85">
        <f t="shared" si="2"/>
        <v>101</v>
      </c>
      <c r="P16" s="85">
        <f t="shared" si="3"/>
        <v>67.3</v>
      </c>
      <c r="Q16" s="85">
        <f t="shared" si="4"/>
        <v>119</v>
      </c>
      <c r="R16" s="50">
        <f t="shared" si="5"/>
        <v>0</v>
      </c>
      <c r="S16" s="70">
        <f t="shared" si="6"/>
        <v>0</v>
      </c>
      <c r="T16" s="70">
        <f t="shared" si="7"/>
        <v>0</v>
      </c>
      <c r="U16" s="70">
        <f t="shared" si="8"/>
        <v>0</v>
      </c>
      <c r="V16" s="70">
        <f t="shared" si="9"/>
        <v>0</v>
      </c>
      <c r="W16" s="70">
        <f t="shared" si="10"/>
        <v>0</v>
      </c>
      <c r="X16" s="345">
        <f t="shared" si="11"/>
        <v>0</v>
      </c>
      <c r="Y16" s="345">
        <f t="shared" si="12"/>
        <v>0</v>
      </c>
      <c r="Z16" s="85"/>
      <c r="AA16" s="85">
        <v>0.3</v>
      </c>
      <c r="AB16" s="85">
        <v>0</v>
      </c>
      <c r="AC16" s="86">
        <f t="shared" si="0"/>
        <v>0</v>
      </c>
      <c r="AD16" s="86">
        <f t="shared" si="1"/>
        <v>0</v>
      </c>
    </row>
    <row r="17" spans="1:30" ht="31.5" x14ac:dyDescent="0.25">
      <c r="A17" s="85" t="s">
        <v>256</v>
      </c>
      <c r="B17" s="85" t="s">
        <v>20</v>
      </c>
      <c r="C17" s="85" t="s">
        <v>26</v>
      </c>
      <c r="D17" s="111"/>
      <c r="E17" s="111"/>
      <c r="F17" s="85">
        <v>25</v>
      </c>
      <c r="G17" s="85"/>
      <c r="H17" s="85"/>
      <c r="I17" s="85"/>
      <c r="J17" s="85"/>
      <c r="K17" s="85">
        <v>31.2</v>
      </c>
      <c r="L17" s="85">
        <v>101</v>
      </c>
      <c r="M17" s="85">
        <v>67.3</v>
      </c>
      <c r="N17" s="85">
        <v>119</v>
      </c>
      <c r="O17" s="85">
        <f t="shared" si="2"/>
        <v>101</v>
      </c>
      <c r="P17" s="85">
        <f t="shared" si="3"/>
        <v>67.3</v>
      </c>
      <c r="Q17" s="85">
        <f t="shared" si="4"/>
        <v>119</v>
      </c>
      <c r="R17" s="50">
        <f t="shared" si="5"/>
        <v>0</v>
      </c>
      <c r="S17" s="70">
        <f t="shared" si="6"/>
        <v>0</v>
      </c>
      <c r="T17" s="70">
        <f t="shared" si="7"/>
        <v>0</v>
      </c>
      <c r="U17" s="70">
        <f t="shared" si="8"/>
        <v>0</v>
      </c>
      <c r="V17" s="70">
        <f t="shared" si="9"/>
        <v>0</v>
      </c>
      <c r="W17" s="70">
        <f t="shared" si="10"/>
        <v>0</v>
      </c>
      <c r="X17" s="345">
        <f t="shared" si="11"/>
        <v>0</v>
      </c>
      <c r="Y17" s="345">
        <f t="shared" si="12"/>
        <v>0</v>
      </c>
      <c r="Z17" s="85"/>
      <c r="AA17" s="85">
        <v>0.3</v>
      </c>
      <c r="AB17" s="85">
        <v>0</v>
      </c>
      <c r="AC17" s="86">
        <f t="shared" si="0"/>
        <v>0</v>
      </c>
      <c r="AD17" s="86">
        <f t="shared" si="1"/>
        <v>0</v>
      </c>
    </row>
    <row r="18" spans="1:30" ht="63" x14ac:dyDescent="0.25">
      <c r="A18" s="85" t="s">
        <v>256</v>
      </c>
      <c r="B18" s="85" t="s">
        <v>20</v>
      </c>
      <c r="C18" s="85" t="s">
        <v>25</v>
      </c>
      <c r="D18" s="111"/>
      <c r="E18" s="111"/>
      <c r="F18" s="85">
        <v>25</v>
      </c>
      <c r="G18" s="85">
        <v>37</v>
      </c>
      <c r="H18" s="85">
        <v>101</v>
      </c>
      <c r="I18" s="85">
        <v>67.3</v>
      </c>
      <c r="J18" s="85">
        <v>119</v>
      </c>
      <c r="K18" s="85"/>
      <c r="L18" s="85"/>
      <c r="M18" s="85"/>
      <c r="N18" s="85"/>
      <c r="O18" s="85">
        <f t="shared" si="2"/>
        <v>101</v>
      </c>
      <c r="P18" s="85">
        <f t="shared" si="3"/>
        <v>67.3</v>
      </c>
      <c r="Q18" s="85">
        <f t="shared" si="4"/>
        <v>119</v>
      </c>
      <c r="R18" s="50">
        <f t="shared" si="5"/>
        <v>0</v>
      </c>
      <c r="S18" s="70">
        <f t="shared" si="6"/>
        <v>0</v>
      </c>
      <c r="T18" s="70">
        <f t="shared" si="7"/>
        <v>0</v>
      </c>
      <c r="U18" s="70">
        <f t="shared" si="8"/>
        <v>0</v>
      </c>
      <c r="V18" s="70">
        <f t="shared" si="9"/>
        <v>0</v>
      </c>
      <c r="W18" s="70">
        <f t="shared" si="10"/>
        <v>0</v>
      </c>
      <c r="X18" s="345">
        <f t="shared" si="11"/>
        <v>0</v>
      </c>
      <c r="Y18" s="345">
        <f t="shared" si="12"/>
        <v>0</v>
      </c>
      <c r="Z18" s="85"/>
      <c r="AA18" s="85">
        <v>0.3</v>
      </c>
      <c r="AB18" s="85">
        <v>0</v>
      </c>
      <c r="AC18" s="86">
        <f t="shared" si="0"/>
        <v>0</v>
      </c>
      <c r="AD18" s="86">
        <f t="shared" si="1"/>
        <v>0</v>
      </c>
    </row>
    <row r="19" spans="1:30" ht="42" x14ac:dyDescent="0.25">
      <c r="A19" s="85" t="s">
        <v>256</v>
      </c>
      <c r="B19" s="85" t="s">
        <v>20</v>
      </c>
      <c r="C19" s="85" t="s">
        <v>24</v>
      </c>
      <c r="D19" s="111"/>
      <c r="E19" s="111"/>
      <c r="F19" s="85">
        <v>25</v>
      </c>
      <c r="G19" s="85">
        <v>55</v>
      </c>
      <c r="H19" s="85">
        <v>101</v>
      </c>
      <c r="I19" s="85">
        <v>67.3</v>
      </c>
      <c r="J19" s="85">
        <v>119</v>
      </c>
      <c r="K19" s="85"/>
      <c r="L19" s="85"/>
      <c r="M19" s="85"/>
      <c r="N19" s="85"/>
      <c r="O19" s="85">
        <f t="shared" si="2"/>
        <v>101</v>
      </c>
      <c r="P19" s="85">
        <f t="shared" si="3"/>
        <v>67.3</v>
      </c>
      <c r="Q19" s="85">
        <f t="shared" si="4"/>
        <v>119</v>
      </c>
      <c r="R19" s="50">
        <f t="shared" si="5"/>
        <v>0</v>
      </c>
      <c r="S19" s="70">
        <f t="shared" si="6"/>
        <v>0</v>
      </c>
      <c r="T19" s="70">
        <f t="shared" si="7"/>
        <v>0</v>
      </c>
      <c r="U19" s="70">
        <f t="shared" si="8"/>
        <v>0</v>
      </c>
      <c r="V19" s="70">
        <f t="shared" si="9"/>
        <v>0</v>
      </c>
      <c r="W19" s="70">
        <f t="shared" si="10"/>
        <v>0</v>
      </c>
      <c r="X19" s="345">
        <f t="shared" si="11"/>
        <v>0</v>
      </c>
      <c r="Y19" s="345">
        <f t="shared" si="12"/>
        <v>0</v>
      </c>
      <c r="Z19" s="85"/>
      <c r="AA19" s="85">
        <v>0.3</v>
      </c>
      <c r="AB19" s="85">
        <v>0</v>
      </c>
      <c r="AC19" s="86">
        <f t="shared" si="0"/>
        <v>0</v>
      </c>
      <c r="AD19" s="86">
        <f t="shared" si="1"/>
        <v>0</v>
      </c>
    </row>
    <row r="20" spans="1:30" ht="52.5" x14ac:dyDescent="0.25">
      <c r="A20" s="85" t="s">
        <v>256</v>
      </c>
      <c r="B20" s="85" t="s">
        <v>27</v>
      </c>
      <c r="C20" s="85" t="s">
        <v>34</v>
      </c>
      <c r="D20" s="111"/>
      <c r="E20" s="111"/>
      <c r="F20" s="85">
        <v>40</v>
      </c>
      <c r="G20" s="85">
        <v>44</v>
      </c>
      <c r="H20" s="85">
        <v>110</v>
      </c>
      <c r="I20" s="85">
        <v>73.3</v>
      </c>
      <c r="J20" s="85">
        <v>119</v>
      </c>
      <c r="K20" s="85"/>
      <c r="L20" s="85"/>
      <c r="M20" s="85"/>
      <c r="N20" s="85"/>
      <c r="O20" s="85">
        <f t="shared" si="2"/>
        <v>110</v>
      </c>
      <c r="P20" s="85">
        <f t="shared" si="3"/>
        <v>73.3</v>
      </c>
      <c r="Q20" s="85">
        <f t="shared" si="4"/>
        <v>119</v>
      </c>
      <c r="R20" s="50">
        <f t="shared" si="5"/>
        <v>0</v>
      </c>
      <c r="S20" s="70">
        <f t="shared" si="6"/>
        <v>0</v>
      </c>
      <c r="T20" s="70">
        <f t="shared" si="7"/>
        <v>0</v>
      </c>
      <c r="U20" s="70">
        <f t="shared" si="8"/>
        <v>0</v>
      </c>
      <c r="V20" s="70">
        <f t="shared" si="9"/>
        <v>0</v>
      </c>
      <c r="W20" s="70">
        <f t="shared" si="10"/>
        <v>0</v>
      </c>
      <c r="X20" s="345">
        <f t="shared" si="11"/>
        <v>0</v>
      </c>
      <c r="Y20" s="345">
        <f t="shared" si="12"/>
        <v>0</v>
      </c>
      <c r="Z20" s="85"/>
      <c r="AA20" s="85">
        <v>0.3</v>
      </c>
      <c r="AB20" s="85">
        <v>0</v>
      </c>
      <c r="AC20" s="86">
        <f t="shared" si="0"/>
        <v>0</v>
      </c>
      <c r="AD20" s="86">
        <f t="shared" si="1"/>
        <v>0</v>
      </c>
    </row>
    <row r="21" spans="1:30" ht="52.5" x14ac:dyDescent="0.25">
      <c r="A21" s="85" t="s">
        <v>256</v>
      </c>
      <c r="B21" s="85" t="s">
        <v>27</v>
      </c>
      <c r="C21" s="85" t="s">
        <v>32</v>
      </c>
      <c r="D21" s="111"/>
      <c r="E21" s="111"/>
      <c r="F21" s="85">
        <v>40</v>
      </c>
      <c r="G21" s="85">
        <v>55</v>
      </c>
      <c r="H21" s="85">
        <v>110</v>
      </c>
      <c r="I21" s="85">
        <v>73.3</v>
      </c>
      <c r="J21" s="85">
        <v>119</v>
      </c>
      <c r="K21" s="85"/>
      <c r="L21" s="85"/>
      <c r="M21" s="85"/>
      <c r="N21" s="85"/>
      <c r="O21" s="85">
        <f t="shared" si="2"/>
        <v>110</v>
      </c>
      <c r="P21" s="85">
        <f t="shared" si="3"/>
        <v>73.3</v>
      </c>
      <c r="Q21" s="85">
        <f t="shared" si="4"/>
        <v>119</v>
      </c>
      <c r="R21" s="50">
        <f t="shared" si="5"/>
        <v>0</v>
      </c>
      <c r="S21" s="70">
        <f t="shared" si="6"/>
        <v>0</v>
      </c>
      <c r="T21" s="70">
        <f t="shared" si="7"/>
        <v>0</v>
      </c>
      <c r="U21" s="70">
        <f t="shared" si="8"/>
        <v>0</v>
      </c>
      <c r="V21" s="70">
        <f t="shared" si="9"/>
        <v>0</v>
      </c>
      <c r="W21" s="70">
        <f t="shared" si="10"/>
        <v>0</v>
      </c>
      <c r="X21" s="345">
        <f t="shared" si="11"/>
        <v>0</v>
      </c>
      <c r="Y21" s="345">
        <f t="shared" si="12"/>
        <v>0</v>
      </c>
      <c r="Z21" s="85"/>
      <c r="AA21" s="85">
        <v>0.3</v>
      </c>
      <c r="AB21" s="85">
        <v>0</v>
      </c>
      <c r="AC21" s="86">
        <f t="shared" si="0"/>
        <v>0</v>
      </c>
      <c r="AD21" s="86">
        <f t="shared" si="1"/>
        <v>0</v>
      </c>
    </row>
    <row r="22" spans="1:30" ht="52.5" x14ac:dyDescent="0.25">
      <c r="A22" s="85" t="s">
        <v>256</v>
      </c>
      <c r="B22" s="85" t="s">
        <v>27</v>
      </c>
      <c r="C22" s="85" t="s">
        <v>31</v>
      </c>
      <c r="D22" s="111"/>
      <c r="E22" s="111"/>
      <c r="F22" s="85">
        <v>40</v>
      </c>
      <c r="G22" s="85">
        <v>73</v>
      </c>
      <c r="H22" s="85">
        <v>110</v>
      </c>
      <c r="I22" s="85">
        <v>73.3</v>
      </c>
      <c r="J22" s="85">
        <v>119</v>
      </c>
      <c r="K22" s="85"/>
      <c r="L22" s="85"/>
      <c r="M22" s="85"/>
      <c r="N22" s="85"/>
      <c r="O22" s="85">
        <f t="shared" si="2"/>
        <v>110</v>
      </c>
      <c r="P22" s="85">
        <f t="shared" si="3"/>
        <v>73.3</v>
      </c>
      <c r="Q22" s="85">
        <f t="shared" si="4"/>
        <v>119</v>
      </c>
      <c r="R22" s="50">
        <f t="shared" si="5"/>
        <v>0</v>
      </c>
      <c r="S22" s="70">
        <f t="shared" si="6"/>
        <v>0</v>
      </c>
      <c r="T22" s="70">
        <f t="shared" si="7"/>
        <v>0</v>
      </c>
      <c r="U22" s="70">
        <f t="shared" si="8"/>
        <v>0</v>
      </c>
      <c r="V22" s="70">
        <f t="shared" si="9"/>
        <v>0</v>
      </c>
      <c r="W22" s="70">
        <f t="shared" si="10"/>
        <v>0</v>
      </c>
      <c r="X22" s="345">
        <f t="shared" si="11"/>
        <v>0</v>
      </c>
      <c r="Y22" s="345">
        <f t="shared" si="12"/>
        <v>0</v>
      </c>
      <c r="Z22" s="85"/>
      <c r="AA22" s="85">
        <v>0.3</v>
      </c>
      <c r="AB22" s="85">
        <v>0</v>
      </c>
      <c r="AC22" s="86">
        <f t="shared" si="0"/>
        <v>0</v>
      </c>
      <c r="AD22" s="86">
        <f t="shared" si="1"/>
        <v>0</v>
      </c>
    </row>
    <row r="23" spans="1:30" ht="42" x14ac:dyDescent="0.25">
      <c r="A23" s="85" t="s">
        <v>256</v>
      </c>
      <c r="B23" s="85" t="s">
        <v>27</v>
      </c>
      <c r="C23" s="85" t="s">
        <v>33</v>
      </c>
      <c r="D23" s="111"/>
      <c r="E23" s="111"/>
      <c r="F23" s="85">
        <v>40</v>
      </c>
      <c r="G23" s="85">
        <v>55</v>
      </c>
      <c r="H23" s="85">
        <v>110</v>
      </c>
      <c r="I23" s="85">
        <v>73.3</v>
      </c>
      <c r="J23" s="85">
        <v>119</v>
      </c>
      <c r="K23" s="85"/>
      <c r="L23" s="85"/>
      <c r="M23" s="85"/>
      <c r="N23" s="85"/>
      <c r="O23" s="85">
        <f t="shared" si="2"/>
        <v>110</v>
      </c>
      <c r="P23" s="85">
        <f t="shared" si="3"/>
        <v>73.3</v>
      </c>
      <c r="Q23" s="85">
        <f t="shared" si="4"/>
        <v>119</v>
      </c>
      <c r="R23" s="50">
        <f t="shared" si="5"/>
        <v>0</v>
      </c>
      <c r="S23" s="70">
        <f t="shared" si="6"/>
        <v>0</v>
      </c>
      <c r="T23" s="70">
        <f t="shared" si="7"/>
        <v>0</v>
      </c>
      <c r="U23" s="70">
        <f t="shared" si="8"/>
        <v>0</v>
      </c>
      <c r="V23" s="70">
        <f t="shared" si="9"/>
        <v>0</v>
      </c>
      <c r="W23" s="70">
        <f t="shared" si="10"/>
        <v>0</v>
      </c>
      <c r="X23" s="345">
        <f t="shared" si="11"/>
        <v>0</v>
      </c>
      <c r="Y23" s="345">
        <f t="shared" si="12"/>
        <v>0</v>
      </c>
      <c r="Z23" s="85"/>
      <c r="AA23" s="85">
        <v>0.3</v>
      </c>
      <c r="AB23" s="85">
        <v>0</v>
      </c>
      <c r="AC23" s="86">
        <f t="shared" si="0"/>
        <v>0</v>
      </c>
      <c r="AD23" s="86">
        <f t="shared" si="1"/>
        <v>0</v>
      </c>
    </row>
    <row r="24" spans="1:30" ht="52.5" x14ac:dyDescent="0.25">
      <c r="A24" s="85" t="s">
        <v>256</v>
      </c>
      <c r="B24" s="85" t="s">
        <v>27</v>
      </c>
      <c r="C24" s="85" t="s">
        <v>35</v>
      </c>
      <c r="D24" s="111"/>
      <c r="E24" s="111"/>
      <c r="F24" s="85">
        <v>40</v>
      </c>
      <c r="G24" s="85">
        <v>37</v>
      </c>
      <c r="H24" s="85">
        <v>110</v>
      </c>
      <c r="I24" s="85">
        <v>73.3</v>
      </c>
      <c r="J24" s="85">
        <v>119</v>
      </c>
      <c r="K24" s="85"/>
      <c r="L24" s="85"/>
      <c r="M24" s="85"/>
      <c r="N24" s="85"/>
      <c r="O24" s="85">
        <f t="shared" si="2"/>
        <v>110</v>
      </c>
      <c r="P24" s="85">
        <f t="shared" si="3"/>
        <v>73.3</v>
      </c>
      <c r="Q24" s="85">
        <f t="shared" si="4"/>
        <v>119</v>
      </c>
      <c r="R24" s="50">
        <f t="shared" si="5"/>
        <v>0</v>
      </c>
      <c r="S24" s="70">
        <f t="shared" si="6"/>
        <v>0</v>
      </c>
      <c r="T24" s="70">
        <f t="shared" si="7"/>
        <v>0</v>
      </c>
      <c r="U24" s="70">
        <f t="shared" si="8"/>
        <v>0</v>
      </c>
      <c r="V24" s="70">
        <f t="shared" si="9"/>
        <v>0</v>
      </c>
      <c r="W24" s="70">
        <f t="shared" si="10"/>
        <v>0</v>
      </c>
      <c r="X24" s="345">
        <f t="shared" si="11"/>
        <v>0</v>
      </c>
      <c r="Y24" s="345">
        <f t="shared" si="12"/>
        <v>0</v>
      </c>
      <c r="Z24" s="85"/>
      <c r="AA24" s="85">
        <v>0.3</v>
      </c>
      <c r="AB24" s="85">
        <v>0</v>
      </c>
      <c r="AC24" s="86">
        <f t="shared" si="0"/>
        <v>0</v>
      </c>
      <c r="AD24" s="86">
        <f t="shared" si="1"/>
        <v>0</v>
      </c>
    </row>
    <row r="25" spans="1:30" ht="52.5" x14ac:dyDescent="0.25">
      <c r="A25" s="85" t="s">
        <v>256</v>
      </c>
      <c r="B25" s="85" t="s">
        <v>27</v>
      </c>
      <c r="C25" s="85" t="s">
        <v>29</v>
      </c>
      <c r="D25" s="111"/>
      <c r="E25" s="111"/>
      <c r="F25" s="85">
        <v>40</v>
      </c>
      <c r="G25" s="85">
        <v>44</v>
      </c>
      <c r="H25" s="85">
        <v>110</v>
      </c>
      <c r="I25" s="85">
        <v>73.3</v>
      </c>
      <c r="J25" s="85">
        <v>119</v>
      </c>
      <c r="K25" s="85"/>
      <c r="L25" s="85"/>
      <c r="M25" s="85"/>
      <c r="N25" s="85"/>
      <c r="O25" s="85">
        <f t="shared" si="2"/>
        <v>110</v>
      </c>
      <c r="P25" s="85">
        <f t="shared" si="3"/>
        <v>73.3</v>
      </c>
      <c r="Q25" s="85">
        <f t="shared" si="4"/>
        <v>119</v>
      </c>
      <c r="R25" s="50">
        <f t="shared" si="5"/>
        <v>0</v>
      </c>
      <c r="S25" s="70">
        <f t="shared" si="6"/>
        <v>0</v>
      </c>
      <c r="T25" s="70">
        <f t="shared" si="7"/>
        <v>0</v>
      </c>
      <c r="U25" s="70">
        <f t="shared" si="8"/>
        <v>0</v>
      </c>
      <c r="V25" s="70">
        <f t="shared" si="9"/>
        <v>0</v>
      </c>
      <c r="W25" s="70">
        <f t="shared" si="10"/>
        <v>0</v>
      </c>
      <c r="X25" s="345">
        <f t="shared" si="11"/>
        <v>0</v>
      </c>
      <c r="Y25" s="345">
        <f t="shared" si="12"/>
        <v>0</v>
      </c>
      <c r="Z25" s="85"/>
      <c r="AA25" s="85">
        <v>0.3</v>
      </c>
      <c r="AB25" s="85">
        <v>0</v>
      </c>
      <c r="AC25" s="86">
        <f t="shared" si="0"/>
        <v>0</v>
      </c>
      <c r="AD25" s="86">
        <f t="shared" si="1"/>
        <v>0</v>
      </c>
    </row>
    <row r="26" spans="1:30" ht="42" x14ac:dyDescent="0.25">
      <c r="A26" s="85" t="s">
        <v>256</v>
      </c>
      <c r="B26" s="85" t="s">
        <v>27</v>
      </c>
      <c r="C26" s="85" t="s">
        <v>28</v>
      </c>
      <c r="D26" s="111"/>
      <c r="E26" s="111"/>
      <c r="F26" s="85">
        <v>40</v>
      </c>
      <c r="G26" s="85">
        <v>73</v>
      </c>
      <c r="H26" s="85">
        <v>110</v>
      </c>
      <c r="I26" s="85">
        <v>73.3</v>
      </c>
      <c r="J26" s="85">
        <v>119</v>
      </c>
      <c r="K26" s="85"/>
      <c r="L26" s="85"/>
      <c r="M26" s="85"/>
      <c r="N26" s="85"/>
      <c r="O26" s="85">
        <f t="shared" si="2"/>
        <v>110</v>
      </c>
      <c r="P26" s="85">
        <f t="shared" si="3"/>
        <v>73.3</v>
      </c>
      <c r="Q26" s="85">
        <f t="shared" si="4"/>
        <v>119</v>
      </c>
      <c r="R26" s="50">
        <f t="shared" si="5"/>
        <v>0</v>
      </c>
      <c r="S26" s="70">
        <f t="shared" si="6"/>
        <v>0</v>
      </c>
      <c r="T26" s="70">
        <f t="shared" si="7"/>
        <v>0</v>
      </c>
      <c r="U26" s="70">
        <f t="shared" si="8"/>
        <v>0</v>
      </c>
      <c r="V26" s="70">
        <f t="shared" si="9"/>
        <v>0</v>
      </c>
      <c r="W26" s="70">
        <f t="shared" si="10"/>
        <v>0</v>
      </c>
      <c r="X26" s="345">
        <f t="shared" si="11"/>
        <v>0</v>
      </c>
      <c r="Y26" s="345">
        <f t="shared" si="12"/>
        <v>0</v>
      </c>
      <c r="Z26" s="85"/>
      <c r="AA26" s="85">
        <v>0.3</v>
      </c>
      <c r="AB26" s="85">
        <v>0</v>
      </c>
      <c r="AC26" s="86">
        <f t="shared" si="0"/>
        <v>0</v>
      </c>
      <c r="AD26" s="86">
        <f t="shared" si="1"/>
        <v>0</v>
      </c>
    </row>
    <row r="27" spans="1:30" ht="42" x14ac:dyDescent="0.25">
      <c r="A27" s="85" t="s">
        <v>256</v>
      </c>
      <c r="B27" s="85" t="s">
        <v>27</v>
      </c>
      <c r="C27" s="85" t="s">
        <v>30</v>
      </c>
      <c r="D27" s="111"/>
      <c r="E27" s="111"/>
      <c r="F27" s="85">
        <v>40</v>
      </c>
      <c r="G27" s="85">
        <v>37</v>
      </c>
      <c r="H27" s="85">
        <v>110</v>
      </c>
      <c r="I27" s="85">
        <v>73.3</v>
      </c>
      <c r="J27" s="85">
        <v>119</v>
      </c>
      <c r="K27" s="85"/>
      <c r="L27" s="85"/>
      <c r="M27" s="85"/>
      <c r="N27" s="85"/>
      <c r="O27" s="85">
        <f t="shared" si="2"/>
        <v>110</v>
      </c>
      <c r="P27" s="85">
        <f t="shared" si="3"/>
        <v>73.3</v>
      </c>
      <c r="Q27" s="85">
        <f t="shared" si="4"/>
        <v>119</v>
      </c>
      <c r="R27" s="50">
        <f t="shared" si="5"/>
        <v>0</v>
      </c>
      <c r="S27" s="70">
        <f t="shared" si="6"/>
        <v>0</v>
      </c>
      <c r="T27" s="70">
        <f t="shared" si="7"/>
        <v>0</v>
      </c>
      <c r="U27" s="70">
        <f t="shared" si="8"/>
        <v>0</v>
      </c>
      <c r="V27" s="70">
        <f t="shared" si="9"/>
        <v>0</v>
      </c>
      <c r="W27" s="70">
        <f t="shared" si="10"/>
        <v>0</v>
      </c>
      <c r="X27" s="345">
        <f t="shared" si="11"/>
        <v>0</v>
      </c>
      <c r="Y27" s="345">
        <f t="shared" si="12"/>
        <v>0</v>
      </c>
      <c r="Z27" s="85"/>
      <c r="AA27" s="85">
        <v>0.3</v>
      </c>
      <c r="AB27" s="85">
        <v>0</v>
      </c>
      <c r="AC27" s="86">
        <f t="shared" si="0"/>
        <v>0</v>
      </c>
      <c r="AD27" s="86">
        <f t="shared" si="1"/>
        <v>0</v>
      </c>
    </row>
    <row r="28" spans="1:30" ht="31.5" x14ac:dyDescent="0.25">
      <c r="A28" s="85" t="s">
        <v>256</v>
      </c>
      <c r="B28" s="85" t="s">
        <v>27</v>
      </c>
      <c r="C28" s="85" t="s">
        <v>37</v>
      </c>
      <c r="D28" s="111"/>
      <c r="E28" s="111"/>
      <c r="F28" s="85">
        <v>40</v>
      </c>
      <c r="G28" s="85">
        <v>0.4</v>
      </c>
      <c r="H28" s="85">
        <v>1.2</v>
      </c>
      <c r="I28" s="85">
        <v>0.8</v>
      </c>
      <c r="J28" s="85">
        <v>1.5</v>
      </c>
      <c r="K28" s="85">
        <v>31.2</v>
      </c>
      <c r="L28" s="85">
        <v>108.8</v>
      </c>
      <c r="M28" s="85">
        <v>72.5</v>
      </c>
      <c r="N28" s="85">
        <v>117.5</v>
      </c>
      <c r="O28" s="85">
        <f t="shared" si="2"/>
        <v>110</v>
      </c>
      <c r="P28" s="85">
        <f t="shared" si="3"/>
        <v>73.3</v>
      </c>
      <c r="Q28" s="85">
        <f t="shared" si="4"/>
        <v>119</v>
      </c>
      <c r="R28" s="50">
        <f t="shared" si="5"/>
        <v>0</v>
      </c>
      <c r="S28" s="70">
        <f t="shared" si="6"/>
        <v>0</v>
      </c>
      <c r="T28" s="70">
        <f t="shared" si="7"/>
        <v>0</v>
      </c>
      <c r="U28" s="70">
        <f t="shared" si="8"/>
        <v>0</v>
      </c>
      <c r="V28" s="70">
        <f t="shared" si="9"/>
        <v>0</v>
      </c>
      <c r="W28" s="70">
        <f t="shared" si="10"/>
        <v>0</v>
      </c>
      <c r="X28" s="345">
        <f t="shared" si="11"/>
        <v>0</v>
      </c>
      <c r="Y28" s="345">
        <f t="shared" si="12"/>
        <v>0</v>
      </c>
      <c r="Z28" s="85"/>
      <c r="AA28" s="85">
        <v>0.3</v>
      </c>
      <c r="AB28" s="85">
        <v>0</v>
      </c>
      <c r="AC28" s="86">
        <f t="shared" si="0"/>
        <v>0</v>
      </c>
      <c r="AD28" s="86">
        <f t="shared" si="1"/>
        <v>0</v>
      </c>
    </row>
    <row r="29" spans="1:30" ht="31.5" x14ac:dyDescent="0.25">
      <c r="A29" s="85" t="s">
        <v>256</v>
      </c>
      <c r="B29" s="85" t="s">
        <v>27</v>
      </c>
      <c r="C29" s="85" t="s">
        <v>123</v>
      </c>
      <c r="D29" s="111"/>
      <c r="E29" s="111"/>
      <c r="F29" s="85">
        <v>40</v>
      </c>
      <c r="G29" s="85"/>
      <c r="H29" s="85"/>
      <c r="I29" s="85"/>
      <c r="J29" s="85"/>
      <c r="K29" s="85">
        <v>31.6</v>
      </c>
      <c r="L29" s="85">
        <v>110</v>
      </c>
      <c r="M29" s="85">
        <v>73.3</v>
      </c>
      <c r="N29" s="85">
        <v>119</v>
      </c>
      <c r="O29" s="85">
        <f t="shared" si="2"/>
        <v>110</v>
      </c>
      <c r="P29" s="85">
        <f t="shared" si="3"/>
        <v>73.3</v>
      </c>
      <c r="Q29" s="85">
        <f t="shared" si="4"/>
        <v>119</v>
      </c>
      <c r="R29" s="50">
        <f t="shared" si="5"/>
        <v>0</v>
      </c>
      <c r="S29" s="70">
        <f t="shared" si="6"/>
        <v>0</v>
      </c>
      <c r="T29" s="70">
        <f t="shared" si="7"/>
        <v>0</v>
      </c>
      <c r="U29" s="70">
        <f t="shared" si="8"/>
        <v>0</v>
      </c>
      <c r="V29" s="70">
        <f t="shared" si="9"/>
        <v>0</v>
      </c>
      <c r="W29" s="70">
        <f t="shared" si="10"/>
        <v>0</v>
      </c>
      <c r="X29" s="345">
        <f t="shared" si="11"/>
        <v>0</v>
      </c>
      <c r="Y29" s="345">
        <f t="shared" si="12"/>
        <v>0</v>
      </c>
      <c r="Z29" s="85"/>
      <c r="AA29" s="85">
        <v>0.3</v>
      </c>
      <c r="AB29" s="85">
        <v>0</v>
      </c>
      <c r="AC29" s="86">
        <f t="shared" si="0"/>
        <v>0</v>
      </c>
      <c r="AD29" s="86">
        <f t="shared" si="1"/>
        <v>0</v>
      </c>
    </row>
    <row r="30" spans="1:30" ht="31.5" x14ac:dyDescent="0.25">
      <c r="A30" s="85" t="s">
        <v>256</v>
      </c>
      <c r="B30" s="85" t="s">
        <v>27</v>
      </c>
      <c r="C30" s="85" t="s">
        <v>36</v>
      </c>
      <c r="D30" s="111"/>
      <c r="E30" s="111"/>
      <c r="F30" s="85">
        <v>40</v>
      </c>
      <c r="G30" s="85">
        <v>6</v>
      </c>
      <c r="H30" s="85">
        <v>17.8</v>
      </c>
      <c r="I30" s="85">
        <v>11.9</v>
      </c>
      <c r="J30" s="85">
        <v>22.9</v>
      </c>
      <c r="K30" s="85">
        <v>25.2</v>
      </c>
      <c r="L30" s="85">
        <v>92.2</v>
      </c>
      <c r="M30" s="85">
        <v>61.5</v>
      </c>
      <c r="N30" s="85">
        <v>96.1</v>
      </c>
      <c r="O30" s="85">
        <f t="shared" si="2"/>
        <v>110</v>
      </c>
      <c r="P30" s="85">
        <f t="shared" si="3"/>
        <v>73.400000000000006</v>
      </c>
      <c r="Q30" s="85">
        <f t="shared" si="4"/>
        <v>119</v>
      </c>
      <c r="R30" s="50">
        <f t="shared" si="5"/>
        <v>0</v>
      </c>
      <c r="S30" s="70">
        <f t="shared" si="6"/>
        <v>0</v>
      </c>
      <c r="T30" s="70">
        <f t="shared" si="7"/>
        <v>0</v>
      </c>
      <c r="U30" s="70">
        <f t="shared" si="8"/>
        <v>0</v>
      </c>
      <c r="V30" s="70">
        <f t="shared" si="9"/>
        <v>0</v>
      </c>
      <c r="W30" s="70">
        <f t="shared" si="10"/>
        <v>0</v>
      </c>
      <c r="X30" s="345">
        <f t="shared" si="11"/>
        <v>0</v>
      </c>
      <c r="Y30" s="345">
        <f t="shared" si="12"/>
        <v>0</v>
      </c>
      <c r="Z30" s="85"/>
      <c r="AA30" s="85">
        <v>0.3</v>
      </c>
      <c r="AB30" s="85">
        <v>0</v>
      </c>
      <c r="AC30" s="86">
        <f t="shared" si="0"/>
        <v>0</v>
      </c>
      <c r="AD30" s="86">
        <f t="shared" si="1"/>
        <v>0</v>
      </c>
    </row>
    <row r="31" spans="1:30" ht="52.5" x14ac:dyDescent="0.25">
      <c r="A31" s="85" t="s">
        <v>254</v>
      </c>
      <c r="B31" s="85" t="s">
        <v>38</v>
      </c>
      <c r="C31" s="85" t="s">
        <v>34</v>
      </c>
      <c r="D31" s="111"/>
      <c r="E31" s="111"/>
      <c r="F31" s="85">
        <v>70</v>
      </c>
      <c r="G31" s="85">
        <v>44</v>
      </c>
      <c r="H31" s="85">
        <v>110</v>
      </c>
      <c r="I31" s="85">
        <v>73.3</v>
      </c>
      <c r="J31" s="85">
        <v>119</v>
      </c>
      <c r="K31" s="85"/>
      <c r="L31" s="85"/>
      <c r="M31" s="85"/>
      <c r="N31" s="85"/>
      <c r="O31" s="85">
        <f t="shared" si="2"/>
        <v>110</v>
      </c>
      <c r="P31" s="85">
        <f t="shared" si="3"/>
        <v>73.3</v>
      </c>
      <c r="Q31" s="85">
        <f t="shared" si="4"/>
        <v>119</v>
      </c>
      <c r="R31" s="50">
        <f t="shared" si="5"/>
        <v>0</v>
      </c>
      <c r="S31" s="70">
        <f t="shared" si="6"/>
        <v>0</v>
      </c>
      <c r="T31" s="70">
        <f t="shared" si="7"/>
        <v>0</v>
      </c>
      <c r="U31" s="70">
        <f t="shared" si="8"/>
        <v>0</v>
      </c>
      <c r="V31" s="70">
        <f t="shared" si="9"/>
        <v>0</v>
      </c>
      <c r="W31" s="70">
        <f t="shared" si="10"/>
        <v>0</v>
      </c>
      <c r="X31" s="345">
        <f t="shared" si="11"/>
        <v>0</v>
      </c>
      <c r="Y31" s="345">
        <f t="shared" si="12"/>
        <v>0</v>
      </c>
      <c r="Z31" s="85"/>
      <c r="AA31" s="85">
        <v>0.3</v>
      </c>
      <c r="AB31" s="85">
        <v>0</v>
      </c>
      <c r="AC31" s="86">
        <f t="shared" si="0"/>
        <v>0</v>
      </c>
      <c r="AD31" s="86">
        <f t="shared" si="1"/>
        <v>0</v>
      </c>
    </row>
    <row r="32" spans="1:30" ht="52.5" x14ac:dyDescent="0.25">
      <c r="A32" s="85" t="s">
        <v>255</v>
      </c>
      <c r="B32" s="85" t="s">
        <v>38</v>
      </c>
      <c r="C32" s="85" t="s">
        <v>34</v>
      </c>
      <c r="D32" s="111"/>
      <c r="E32" s="111"/>
      <c r="F32" s="85">
        <v>70</v>
      </c>
      <c r="G32" s="85">
        <v>44</v>
      </c>
      <c r="H32" s="85">
        <v>110</v>
      </c>
      <c r="I32" s="85">
        <v>73.3</v>
      </c>
      <c r="J32" s="85">
        <v>119</v>
      </c>
      <c r="K32" s="85"/>
      <c r="L32" s="85"/>
      <c r="M32" s="85"/>
      <c r="N32" s="85"/>
      <c r="O32" s="85">
        <f t="shared" si="2"/>
        <v>110</v>
      </c>
      <c r="P32" s="85">
        <f t="shared" si="3"/>
        <v>73.3</v>
      </c>
      <c r="Q32" s="85">
        <f t="shared" si="4"/>
        <v>119</v>
      </c>
      <c r="R32" s="50">
        <f t="shared" si="5"/>
        <v>0</v>
      </c>
      <c r="S32" s="70">
        <f t="shared" si="6"/>
        <v>0</v>
      </c>
      <c r="T32" s="70">
        <f t="shared" si="7"/>
        <v>0</v>
      </c>
      <c r="U32" s="70">
        <f t="shared" si="8"/>
        <v>0</v>
      </c>
      <c r="V32" s="70">
        <f t="shared" si="9"/>
        <v>0</v>
      </c>
      <c r="W32" s="70">
        <f t="shared" si="10"/>
        <v>0</v>
      </c>
      <c r="X32" s="345">
        <f t="shared" si="11"/>
        <v>0</v>
      </c>
      <c r="Y32" s="345">
        <f t="shared" si="12"/>
        <v>0</v>
      </c>
      <c r="Z32" s="85"/>
      <c r="AA32" s="85">
        <v>0.5</v>
      </c>
      <c r="AB32" s="85">
        <v>0</v>
      </c>
      <c r="AC32" s="86">
        <f t="shared" si="0"/>
        <v>0</v>
      </c>
      <c r="AD32" s="86">
        <f t="shared" si="1"/>
        <v>0</v>
      </c>
    </row>
    <row r="33" spans="1:30" ht="52.5" x14ac:dyDescent="0.25">
      <c r="A33" s="85" t="s">
        <v>254</v>
      </c>
      <c r="B33" s="85" t="s">
        <v>38</v>
      </c>
      <c r="C33" s="85" t="s">
        <v>32</v>
      </c>
      <c r="D33" s="111"/>
      <c r="E33" s="111"/>
      <c r="F33" s="85">
        <v>70</v>
      </c>
      <c r="G33" s="85">
        <v>55</v>
      </c>
      <c r="H33" s="85">
        <v>110</v>
      </c>
      <c r="I33" s="85">
        <v>73.3</v>
      </c>
      <c r="J33" s="85">
        <v>119</v>
      </c>
      <c r="K33" s="85"/>
      <c r="L33" s="85"/>
      <c r="M33" s="85"/>
      <c r="N33" s="85"/>
      <c r="O33" s="85">
        <f t="shared" si="2"/>
        <v>110</v>
      </c>
      <c r="P33" s="85">
        <f t="shared" si="3"/>
        <v>73.3</v>
      </c>
      <c r="Q33" s="85">
        <f t="shared" si="4"/>
        <v>119</v>
      </c>
      <c r="R33" s="50">
        <f t="shared" si="5"/>
        <v>0</v>
      </c>
      <c r="S33" s="70">
        <f t="shared" si="6"/>
        <v>0</v>
      </c>
      <c r="T33" s="70">
        <f t="shared" si="7"/>
        <v>0</v>
      </c>
      <c r="U33" s="70">
        <f t="shared" si="8"/>
        <v>0</v>
      </c>
      <c r="V33" s="70">
        <f t="shared" si="9"/>
        <v>0</v>
      </c>
      <c r="W33" s="70">
        <f t="shared" si="10"/>
        <v>0</v>
      </c>
      <c r="X33" s="345">
        <f t="shared" si="11"/>
        <v>0</v>
      </c>
      <c r="Y33" s="345">
        <f t="shared" si="12"/>
        <v>0</v>
      </c>
      <c r="Z33" s="85"/>
      <c r="AA33" s="85">
        <v>0.3</v>
      </c>
      <c r="AB33" s="85">
        <v>0</v>
      </c>
      <c r="AC33" s="86">
        <f t="shared" si="0"/>
        <v>0</v>
      </c>
      <c r="AD33" s="86">
        <f t="shared" si="1"/>
        <v>0</v>
      </c>
    </row>
    <row r="34" spans="1:30" ht="52.5" x14ac:dyDescent="0.25">
      <c r="A34" s="85" t="s">
        <v>255</v>
      </c>
      <c r="B34" s="85" t="s">
        <v>38</v>
      </c>
      <c r="C34" s="85" t="s">
        <v>32</v>
      </c>
      <c r="D34" s="111"/>
      <c r="E34" s="111"/>
      <c r="F34" s="85">
        <v>70</v>
      </c>
      <c r="G34" s="85">
        <v>55</v>
      </c>
      <c r="H34" s="85">
        <v>110</v>
      </c>
      <c r="I34" s="85">
        <v>73.3</v>
      </c>
      <c r="J34" s="85">
        <v>119</v>
      </c>
      <c r="K34" s="85"/>
      <c r="L34" s="85"/>
      <c r="M34" s="85"/>
      <c r="N34" s="85"/>
      <c r="O34" s="85">
        <f t="shared" si="2"/>
        <v>110</v>
      </c>
      <c r="P34" s="85">
        <f t="shared" si="3"/>
        <v>73.3</v>
      </c>
      <c r="Q34" s="85">
        <f t="shared" si="4"/>
        <v>119</v>
      </c>
      <c r="R34" s="50">
        <f t="shared" si="5"/>
        <v>0</v>
      </c>
      <c r="S34" s="70">
        <f t="shared" si="6"/>
        <v>0</v>
      </c>
      <c r="T34" s="70">
        <f t="shared" si="7"/>
        <v>0</v>
      </c>
      <c r="U34" s="70">
        <f t="shared" si="8"/>
        <v>0</v>
      </c>
      <c r="V34" s="70">
        <f t="shared" si="9"/>
        <v>0</v>
      </c>
      <c r="W34" s="70">
        <f t="shared" si="10"/>
        <v>0</v>
      </c>
      <c r="X34" s="345">
        <f t="shared" si="11"/>
        <v>0</v>
      </c>
      <c r="Y34" s="345">
        <f t="shared" si="12"/>
        <v>0</v>
      </c>
      <c r="Z34" s="85"/>
      <c r="AA34" s="85">
        <v>0.5</v>
      </c>
      <c r="AB34" s="85">
        <v>0</v>
      </c>
      <c r="AC34" s="86">
        <f t="shared" si="0"/>
        <v>0</v>
      </c>
      <c r="AD34" s="86">
        <f t="shared" si="1"/>
        <v>0</v>
      </c>
    </row>
    <row r="35" spans="1:30" ht="52.5" x14ac:dyDescent="0.25">
      <c r="A35" s="85" t="s">
        <v>254</v>
      </c>
      <c r="B35" s="85" t="s">
        <v>38</v>
      </c>
      <c r="C35" s="85" t="s">
        <v>31</v>
      </c>
      <c r="D35" s="111"/>
      <c r="E35" s="111"/>
      <c r="F35" s="85">
        <v>70</v>
      </c>
      <c r="G35" s="85">
        <v>73</v>
      </c>
      <c r="H35" s="85">
        <v>110</v>
      </c>
      <c r="I35" s="85">
        <v>73.3</v>
      </c>
      <c r="J35" s="85">
        <v>119</v>
      </c>
      <c r="K35" s="85"/>
      <c r="L35" s="85"/>
      <c r="M35" s="85"/>
      <c r="N35" s="85"/>
      <c r="O35" s="85">
        <f t="shared" si="2"/>
        <v>110</v>
      </c>
      <c r="P35" s="85">
        <f t="shared" si="3"/>
        <v>73.3</v>
      </c>
      <c r="Q35" s="85">
        <f t="shared" si="4"/>
        <v>119</v>
      </c>
      <c r="R35" s="50">
        <f t="shared" si="5"/>
        <v>0</v>
      </c>
      <c r="S35" s="70">
        <f t="shared" si="6"/>
        <v>0</v>
      </c>
      <c r="T35" s="70">
        <f t="shared" si="7"/>
        <v>0</v>
      </c>
      <c r="U35" s="70">
        <f t="shared" si="8"/>
        <v>0</v>
      </c>
      <c r="V35" s="70">
        <f t="shared" si="9"/>
        <v>0</v>
      </c>
      <c r="W35" s="70">
        <f t="shared" si="10"/>
        <v>0</v>
      </c>
      <c r="X35" s="345">
        <f t="shared" si="11"/>
        <v>0</v>
      </c>
      <c r="Y35" s="345">
        <f t="shared" si="12"/>
        <v>0</v>
      </c>
      <c r="Z35" s="85"/>
      <c r="AA35" s="85">
        <v>0.3</v>
      </c>
      <c r="AB35" s="85">
        <v>0</v>
      </c>
      <c r="AC35" s="86">
        <f t="shared" si="0"/>
        <v>0</v>
      </c>
      <c r="AD35" s="86">
        <f t="shared" si="1"/>
        <v>0</v>
      </c>
    </row>
    <row r="36" spans="1:30" ht="52.5" x14ac:dyDescent="0.25">
      <c r="A36" s="85" t="s">
        <v>255</v>
      </c>
      <c r="B36" s="85" t="s">
        <v>38</v>
      </c>
      <c r="C36" s="85" t="s">
        <v>31</v>
      </c>
      <c r="D36" s="111"/>
      <c r="E36" s="111"/>
      <c r="F36" s="85">
        <v>70</v>
      </c>
      <c r="G36" s="85">
        <v>73</v>
      </c>
      <c r="H36" s="85">
        <v>110</v>
      </c>
      <c r="I36" s="85">
        <v>73.3</v>
      </c>
      <c r="J36" s="85">
        <v>119</v>
      </c>
      <c r="K36" s="85"/>
      <c r="L36" s="85"/>
      <c r="M36" s="85"/>
      <c r="N36" s="85"/>
      <c r="O36" s="85">
        <f t="shared" si="2"/>
        <v>110</v>
      </c>
      <c r="P36" s="85">
        <f t="shared" si="3"/>
        <v>73.3</v>
      </c>
      <c r="Q36" s="85">
        <f t="shared" si="4"/>
        <v>119</v>
      </c>
      <c r="R36" s="50">
        <f t="shared" si="5"/>
        <v>0</v>
      </c>
      <c r="S36" s="70">
        <f t="shared" si="6"/>
        <v>0</v>
      </c>
      <c r="T36" s="70">
        <f t="shared" si="7"/>
        <v>0</v>
      </c>
      <c r="U36" s="70">
        <f t="shared" si="8"/>
        <v>0</v>
      </c>
      <c r="V36" s="70">
        <f t="shared" si="9"/>
        <v>0</v>
      </c>
      <c r="W36" s="70">
        <f t="shared" si="10"/>
        <v>0</v>
      </c>
      <c r="X36" s="345">
        <f t="shared" si="11"/>
        <v>0</v>
      </c>
      <c r="Y36" s="345">
        <f t="shared" si="12"/>
        <v>0</v>
      </c>
      <c r="Z36" s="85"/>
      <c r="AA36" s="85">
        <v>0.5</v>
      </c>
      <c r="AB36" s="85">
        <v>0</v>
      </c>
      <c r="AC36" s="86">
        <f t="shared" si="0"/>
        <v>0</v>
      </c>
      <c r="AD36" s="86">
        <f t="shared" si="1"/>
        <v>0</v>
      </c>
    </row>
    <row r="37" spans="1:30" ht="42" x14ac:dyDescent="0.25">
      <c r="A37" s="85" t="s">
        <v>254</v>
      </c>
      <c r="B37" s="85" t="s">
        <v>38</v>
      </c>
      <c r="C37" s="85" t="s">
        <v>33</v>
      </c>
      <c r="D37" s="111"/>
      <c r="E37" s="111"/>
      <c r="F37" s="85">
        <v>70</v>
      </c>
      <c r="G37" s="85">
        <v>55</v>
      </c>
      <c r="H37" s="85">
        <v>110</v>
      </c>
      <c r="I37" s="85">
        <v>73.3</v>
      </c>
      <c r="J37" s="85">
        <v>119</v>
      </c>
      <c r="K37" s="85"/>
      <c r="L37" s="85"/>
      <c r="M37" s="85"/>
      <c r="N37" s="85"/>
      <c r="O37" s="85">
        <f t="shared" si="2"/>
        <v>110</v>
      </c>
      <c r="P37" s="85">
        <f t="shared" si="3"/>
        <v>73.3</v>
      </c>
      <c r="Q37" s="85">
        <f t="shared" si="4"/>
        <v>119</v>
      </c>
      <c r="R37" s="50">
        <f t="shared" si="5"/>
        <v>0</v>
      </c>
      <c r="S37" s="70">
        <f t="shared" si="6"/>
        <v>0</v>
      </c>
      <c r="T37" s="70">
        <f t="shared" si="7"/>
        <v>0</v>
      </c>
      <c r="U37" s="70">
        <f t="shared" si="8"/>
        <v>0</v>
      </c>
      <c r="V37" s="70">
        <f t="shared" si="9"/>
        <v>0</v>
      </c>
      <c r="W37" s="70">
        <f t="shared" si="10"/>
        <v>0</v>
      </c>
      <c r="X37" s="345">
        <f t="shared" si="11"/>
        <v>0</v>
      </c>
      <c r="Y37" s="345">
        <f t="shared" si="12"/>
        <v>0</v>
      </c>
      <c r="Z37" s="85"/>
      <c r="AA37" s="85">
        <v>0.3</v>
      </c>
      <c r="AB37" s="85">
        <v>0</v>
      </c>
      <c r="AC37" s="86">
        <f t="shared" si="0"/>
        <v>0</v>
      </c>
      <c r="AD37" s="86">
        <f t="shared" si="1"/>
        <v>0</v>
      </c>
    </row>
    <row r="38" spans="1:30" ht="42" x14ac:dyDescent="0.25">
      <c r="A38" s="85" t="s">
        <v>255</v>
      </c>
      <c r="B38" s="85" t="s">
        <v>38</v>
      </c>
      <c r="C38" s="85" t="s">
        <v>33</v>
      </c>
      <c r="D38" s="111"/>
      <c r="E38" s="111"/>
      <c r="F38" s="85">
        <v>70</v>
      </c>
      <c r="G38" s="85">
        <v>55</v>
      </c>
      <c r="H38" s="85">
        <v>110</v>
      </c>
      <c r="I38" s="85">
        <v>73.3</v>
      </c>
      <c r="J38" s="85">
        <v>119</v>
      </c>
      <c r="K38" s="85"/>
      <c r="L38" s="85"/>
      <c r="M38" s="85"/>
      <c r="N38" s="85"/>
      <c r="O38" s="85">
        <f t="shared" si="2"/>
        <v>110</v>
      </c>
      <c r="P38" s="85">
        <f t="shared" si="3"/>
        <v>73.3</v>
      </c>
      <c r="Q38" s="85">
        <f t="shared" si="4"/>
        <v>119</v>
      </c>
      <c r="R38" s="50">
        <f t="shared" si="5"/>
        <v>0</v>
      </c>
      <c r="S38" s="70">
        <f t="shared" si="6"/>
        <v>0</v>
      </c>
      <c r="T38" s="70">
        <f t="shared" si="7"/>
        <v>0</v>
      </c>
      <c r="U38" s="70">
        <f t="shared" si="8"/>
        <v>0</v>
      </c>
      <c r="V38" s="70">
        <f t="shared" si="9"/>
        <v>0</v>
      </c>
      <c r="W38" s="70">
        <f t="shared" si="10"/>
        <v>0</v>
      </c>
      <c r="X38" s="345">
        <f t="shared" si="11"/>
        <v>0</v>
      </c>
      <c r="Y38" s="345">
        <f t="shared" si="12"/>
        <v>0</v>
      </c>
      <c r="Z38" s="85"/>
      <c r="AA38" s="85">
        <v>0.5</v>
      </c>
      <c r="AB38" s="85">
        <v>0</v>
      </c>
      <c r="AC38" s="86">
        <f t="shared" si="0"/>
        <v>0</v>
      </c>
      <c r="AD38" s="86">
        <f t="shared" si="1"/>
        <v>0</v>
      </c>
    </row>
    <row r="39" spans="1:30" ht="52.5" x14ac:dyDescent="0.25">
      <c r="A39" s="85" t="s">
        <v>254</v>
      </c>
      <c r="B39" s="85" t="s">
        <v>38</v>
      </c>
      <c r="C39" s="85" t="s">
        <v>35</v>
      </c>
      <c r="D39" s="111"/>
      <c r="E39" s="111"/>
      <c r="F39" s="85">
        <v>70</v>
      </c>
      <c r="G39" s="85">
        <v>37</v>
      </c>
      <c r="H39" s="85">
        <v>110</v>
      </c>
      <c r="I39" s="85">
        <v>73.3</v>
      </c>
      <c r="J39" s="85">
        <v>119</v>
      </c>
      <c r="K39" s="85"/>
      <c r="L39" s="85"/>
      <c r="M39" s="85"/>
      <c r="N39" s="85"/>
      <c r="O39" s="85">
        <f t="shared" si="2"/>
        <v>110</v>
      </c>
      <c r="P39" s="85">
        <f t="shared" si="3"/>
        <v>73.3</v>
      </c>
      <c r="Q39" s="85">
        <f t="shared" si="4"/>
        <v>119</v>
      </c>
      <c r="R39" s="50">
        <f t="shared" si="5"/>
        <v>0</v>
      </c>
      <c r="S39" s="70">
        <f t="shared" si="6"/>
        <v>0</v>
      </c>
      <c r="T39" s="70">
        <f t="shared" si="7"/>
        <v>0</v>
      </c>
      <c r="U39" s="70">
        <f t="shared" si="8"/>
        <v>0</v>
      </c>
      <c r="V39" s="70">
        <f t="shared" si="9"/>
        <v>0</v>
      </c>
      <c r="W39" s="70">
        <f t="shared" si="10"/>
        <v>0</v>
      </c>
      <c r="X39" s="345">
        <f t="shared" si="11"/>
        <v>0</v>
      </c>
      <c r="Y39" s="345">
        <f t="shared" si="12"/>
        <v>0</v>
      </c>
      <c r="Z39" s="85"/>
      <c r="AA39" s="85">
        <v>0.3</v>
      </c>
      <c r="AB39" s="85">
        <v>0</v>
      </c>
      <c r="AC39" s="86">
        <f t="shared" si="0"/>
        <v>0</v>
      </c>
      <c r="AD39" s="86">
        <f t="shared" si="1"/>
        <v>0</v>
      </c>
    </row>
    <row r="40" spans="1:30" ht="52.5" x14ac:dyDescent="0.25">
      <c r="A40" s="85" t="s">
        <v>255</v>
      </c>
      <c r="B40" s="85" t="s">
        <v>38</v>
      </c>
      <c r="C40" s="85" t="s">
        <v>35</v>
      </c>
      <c r="D40" s="111"/>
      <c r="E40" s="111"/>
      <c r="F40" s="85">
        <v>70</v>
      </c>
      <c r="G40" s="85">
        <v>37</v>
      </c>
      <c r="H40" s="85">
        <v>110</v>
      </c>
      <c r="I40" s="85">
        <v>73.3</v>
      </c>
      <c r="J40" s="85">
        <v>119</v>
      </c>
      <c r="K40" s="85"/>
      <c r="L40" s="85"/>
      <c r="M40" s="85"/>
      <c r="N40" s="85"/>
      <c r="O40" s="85">
        <f t="shared" si="2"/>
        <v>110</v>
      </c>
      <c r="P40" s="85">
        <f t="shared" si="3"/>
        <v>73.3</v>
      </c>
      <c r="Q40" s="85">
        <f t="shared" si="4"/>
        <v>119</v>
      </c>
      <c r="R40" s="50">
        <f t="shared" si="5"/>
        <v>0</v>
      </c>
      <c r="S40" s="70">
        <f t="shared" si="6"/>
        <v>0</v>
      </c>
      <c r="T40" s="70">
        <f t="shared" si="7"/>
        <v>0</v>
      </c>
      <c r="U40" s="70">
        <f t="shared" si="8"/>
        <v>0</v>
      </c>
      <c r="V40" s="70">
        <f t="shared" si="9"/>
        <v>0</v>
      </c>
      <c r="W40" s="70">
        <f t="shared" si="10"/>
        <v>0</v>
      </c>
      <c r="X40" s="345">
        <f t="shared" si="11"/>
        <v>0</v>
      </c>
      <c r="Y40" s="345">
        <f t="shared" si="12"/>
        <v>0</v>
      </c>
      <c r="Z40" s="85"/>
      <c r="AA40" s="85">
        <v>0.5</v>
      </c>
      <c r="AB40" s="85">
        <v>0</v>
      </c>
      <c r="AC40" s="86">
        <f t="shared" ref="AC40:AC82" si="13">AA40*D40</f>
        <v>0</v>
      </c>
      <c r="AD40" s="86">
        <f t="shared" ref="AD40:AD82" si="14">AB40*D40</f>
        <v>0</v>
      </c>
    </row>
    <row r="41" spans="1:30" ht="52.5" x14ac:dyDescent="0.25">
      <c r="A41" s="85" t="s">
        <v>254</v>
      </c>
      <c r="B41" s="85" t="s">
        <v>38</v>
      </c>
      <c r="C41" s="85" t="s">
        <v>29</v>
      </c>
      <c r="D41" s="111"/>
      <c r="E41" s="111"/>
      <c r="F41" s="85">
        <v>70</v>
      </c>
      <c r="G41" s="85">
        <v>44</v>
      </c>
      <c r="H41" s="85">
        <v>110</v>
      </c>
      <c r="I41" s="85">
        <v>73.3</v>
      </c>
      <c r="J41" s="85">
        <v>119</v>
      </c>
      <c r="K41" s="85"/>
      <c r="L41" s="85"/>
      <c r="M41" s="85"/>
      <c r="N41" s="85"/>
      <c r="O41" s="85">
        <f t="shared" si="2"/>
        <v>110</v>
      </c>
      <c r="P41" s="85">
        <f t="shared" si="3"/>
        <v>73.3</v>
      </c>
      <c r="Q41" s="85">
        <f t="shared" si="4"/>
        <v>119</v>
      </c>
      <c r="R41" s="50">
        <f t="shared" si="5"/>
        <v>0</v>
      </c>
      <c r="S41" s="70">
        <f t="shared" si="6"/>
        <v>0</v>
      </c>
      <c r="T41" s="70">
        <f t="shared" si="7"/>
        <v>0</v>
      </c>
      <c r="U41" s="70">
        <f t="shared" si="8"/>
        <v>0</v>
      </c>
      <c r="V41" s="70">
        <f t="shared" si="9"/>
        <v>0</v>
      </c>
      <c r="W41" s="70">
        <f t="shared" si="10"/>
        <v>0</v>
      </c>
      <c r="X41" s="345">
        <f t="shared" si="11"/>
        <v>0</v>
      </c>
      <c r="Y41" s="345">
        <f t="shared" si="12"/>
        <v>0</v>
      </c>
      <c r="Z41" s="85"/>
      <c r="AA41" s="85">
        <v>0.3</v>
      </c>
      <c r="AB41" s="85">
        <v>0</v>
      </c>
      <c r="AC41" s="86">
        <f t="shared" si="13"/>
        <v>0</v>
      </c>
      <c r="AD41" s="86">
        <f t="shared" si="14"/>
        <v>0</v>
      </c>
    </row>
    <row r="42" spans="1:30" ht="52.5" x14ac:dyDescent="0.25">
      <c r="A42" s="85" t="s">
        <v>255</v>
      </c>
      <c r="B42" s="85" t="s">
        <v>38</v>
      </c>
      <c r="C42" s="85" t="s">
        <v>29</v>
      </c>
      <c r="D42" s="111"/>
      <c r="E42" s="111"/>
      <c r="F42" s="85">
        <v>70</v>
      </c>
      <c r="G42" s="85">
        <v>44</v>
      </c>
      <c r="H42" s="85">
        <v>110</v>
      </c>
      <c r="I42" s="85">
        <v>73.3</v>
      </c>
      <c r="J42" s="85">
        <v>119</v>
      </c>
      <c r="K42" s="85"/>
      <c r="L42" s="85"/>
      <c r="M42" s="85"/>
      <c r="N42" s="85"/>
      <c r="O42" s="85">
        <f t="shared" si="2"/>
        <v>110</v>
      </c>
      <c r="P42" s="85">
        <f t="shared" si="3"/>
        <v>73.3</v>
      </c>
      <c r="Q42" s="85">
        <f t="shared" si="4"/>
        <v>119</v>
      </c>
      <c r="R42" s="50">
        <f t="shared" si="5"/>
        <v>0</v>
      </c>
      <c r="S42" s="70">
        <f t="shared" si="6"/>
        <v>0</v>
      </c>
      <c r="T42" s="70">
        <f t="shared" si="7"/>
        <v>0</v>
      </c>
      <c r="U42" s="70">
        <f t="shared" si="8"/>
        <v>0</v>
      </c>
      <c r="V42" s="70">
        <f t="shared" si="9"/>
        <v>0</v>
      </c>
      <c r="W42" s="70">
        <f t="shared" si="10"/>
        <v>0</v>
      </c>
      <c r="X42" s="345">
        <f t="shared" si="11"/>
        <v>0</v>
      </c>
      <c r="Y42" s="345">
        <f t="shared" si="12"/>
        <v>0</v>
      </c>
      <c r="Z42" s="85"/>
      <c r="AA42" s="85">
        <v>0.5</v>
      </c>
      <c r="AB42" s="85">
        <v>0</v>
      </c>
      <c r="AC42" s="86">
        <f t="shared" si="13"/>
        <v>0</v>
      </c>
      <c r="AD42" s="86">
        <f t="shared" si="14"/>
        <v>0</v>
      </c>
    </row>
    <row r="43" spans="1:30" ht="42" x14ac:dyDescent="0.25">
      <c r="A43" s="85" t="s">
        <v>254</v>
      </c>
      <c r="B43" s="85" t="s">
        <v>38</v>
      </c>
      <c r="C43" s="85" t="s">
        <v>28</v>
      </c>
      <c r="D43" s="111"/>
      <c r="E43" s="111"/>
      <c r="F43" s="85">
        <v>70</v>
      </c>
      <c r="G43" s="85">
        <v>73</v>
      </c>
      <c r="H43" s="85">
        <v>110</v>
      </c>
      <c r="I43" s="85">
        <v>73.3</v>
      </c>
      <c r="J43" s="85">
        <v>119</v>
      </c>
      <c r="K43" s="85"/>
      <c r="L43" s="85"/>
      <c r="M43" s="85"/>
      <c r="N43" s="85"/>
      <c r="O43" s="85">
        <f t="shared" si="2"/>
        <v>110</v>
      </c>
      <c r="P43" s="85">
        <f t="shared" si="3"/>
        <v>73.3</v>
      </c>
      <c r="Q43" s="85">
        <f t="shared" si="4"/>
        <v>119</v>
      </c>
      <c r="R43" s="50">
        <f t="shared" si="5"/>
        <v>0</v>
      </c>
      <c r="S43" s="70">
        <f t="shared" si="6"/>
        <v>0</v>
      </c>
      <c r="T43" s="70">
        <f t="shared" si="7"/>
        <v>0</v>
      </c>
      <c r="U43" s="70">
        <f t="shared" si="8"/>
        <v>0</v>
      </c>
      <c r="V43" s="70">
        <f t="shared" si="9"/>
        <v>0</v>
      </c>
      <c r="W43" s="70">
        <f t="shared" si="10"/>
        <v>0</v>
      </c>
      <c r="X43" s="345">
        <f t="shared" si="11"/>
        <v>0</v>
      </c>
      <c r="Y43" s="345">
        <f t="shared" si="12"/>
        <v>0</v>
      </c>
      <c r="Z43" s="85"/>
      <c r="AA43" s="85">
        <v>0.3</v>
      </c>
      <c r="AB43" s="85">
        <v>0</v>
      </c>
      <c r="AC43" s="86">
        <f t="shared" si="13"/>
        <v>0</v>
      </c>
      <c r="AD43" s="86">
        <f t="shared" si="14"/>
        <v>0</v>
      </c>
    </row>
    <row r="44" spans="1:30" ht="42" x14ac:dyDescent="0.25">
      <c r="A44" s="85" t="s">
        <v>255</v>
      </c>
      <c r="B44" s="85" t="s">
        <v>38</v>
      </c>
      <c r="C44" s="85" t="s">
        <v>28</v>
      </c>
      <c r="D44" s="111"/>
      <c r="E44" s="111"/>
      <c r="F44" s="85">
        <v>70</v>
      </c>
      <c r="G44" s="85">
        <v>73</v>
      </c>
      <c r="H44" s="85">
        <v>110</v>
      </c>
      <c r="I44" s="85">
        <v>73.3</v>
      </c>
      <c r="J44" s="85">
        <v>119</v>
      </c>
      <c r="K44" s="85"/>
      <c r="L44" s="85"/>
      <c r="M44" s="85"/>
      <c r="N44" s="85"/>
      <c r="O44" s="85">
        <f t="shared" si="2"/>
        <v>110</v>
      </c>
      <c r="P44" s="85">
        <f t="shared" si="3"/>
        <v>73.3</v>
      </c>
      <c r="Q44" s="85">
        <f t="shared" si="4"/>
        <v>119</v>
      </c>
      <c r="R44" s="50">
        <f t="shared" si="5"/>
        <v>0</v>
      </c>
      <c r="S44" s="70">
        <f t="shared" si="6"/>
        <v>0</v>
      </c>
      <c r="T44" s="70">
        <f t="shared" si="7"/>
        <v>0</v>
      </c>
      <c r="U44" s="70">
        <f t="shared" si="8"/>
        <v>0</v>
      </c>
      <c r="V44" s="70">
        <f t="shared" si="9"/>
        <v>0</v>
      </c>
      <c r="W44" s="70">
        <f t="shared" si="10"/>
        <v>0</v>
      </c>
      <c r="X44" s="345">
        <f t="shared" si="11"/>
        <v>0</v>
      </c>
      <c r="Y44" s="345">
        <f t="shared" si="12"/>
        <v>0</v>
      </c>
      <c r="Z44" s="85"/>
      <c r="AA44" s="85">
        <v>0.5</v>
      </c>
      <c r="AB44" s="85">
        <v>0</v>
      </c>
      <c r="AC44" s="86">
        <f t="shared" si="13"/>
        <v>0</v>
      </c>
      <c r="AD44" s="86">
        <f t="shared" si="14"/>
        <v>0</v>
      </c>
    </row>
    <row r="45" spans="1:30" ht="42" x14ac:dyDescent="0.25">
      <c r="A45" s="85" t="s">
        <v>254</v>
      </c>
      <c r="B45" s="85" t="s">
        <v>38</v>
      </c>
      <c r="C45" s="85" t="s">
        <v>30</v>
      </c>
      <c r="D45" s="111"/>
      <c r="E45" s="111"/>
      <c r="F45" s="85">
        <v>70</v>
      </c>
      <c r="G45" s="85">
        <v>37</v>
      </c>
      <c r="H45" s="85">
        <v>110</v>
      </c>
      <c r="I45" s="85">
        <v>73.3</v>
      </c>
      <c r="J45" s="85">
        <v>119</v>
      </c>
      <c r="K45" s="85"/>
      <c r="L45" s="85"/>
      <c r="M45" s="85"/>
      <c r="N45" s="85"/>
      <c r="O45" s="85">
        <f t="shared" si="2"/>
        <v>110</v>
      </c>
      <c r="P45" s="85">
        <f t="shared" si="3"/>
        <v>73.3</v>
      </c>
      <c r="Q45" s="85">
        <f t="shared" si="4"/>
        <v>119</v>
      </c>
      <c r="R45" s="50">
        <f t="shared" si="5"/>
        <v>0</v>
      </c>
      <c r="S45" s="70">
        <f t="shared" si="6"/>
        <v>0</v>
      </c>
      <c r="T45" s="70">
        <f t="shared" si="7"/>
        <v>0</v>
      </c>
      <c r="U45" s="70">
        <f t="shared" si="8"/>
        <v>0</v>
      </c>
      <c r="V45" s="70">
        <f t="shared" si="9"/>
        <v>0</v>
      </c>
      <c r="W45" s="70">
        <f t="shared" si="10"/>
        <v>0</v>
      </c>
      <c r="X45" s="345">
        <f t="shared" si="11"/>
        <v>0</v>
      </c>
      <c r="Y45" s="345">
        <f t="shared" si="12"/>
        <v>0</v>
      </c>
      <c r="Z45" s="85"/>
      <c r="AA45" s="85">
        <v>0.3</v>
      </c>
      <c r="AB45" s="85">
        <v>0</v>
      </c>
      <c r="AC45" s="86">
        <f t="shared" si="13"/>
        <v>0</v>
      </c>
      <c r="AD45" s="86">
        <f t="shared" si="14"/>
        <v>0</v>
      </c>
    </row>
    <row r="46" spans="1:30" ht="42" x14ac:dyDescent="0.25">
      <c r="A46" s="85" t="s">
        <v>255</v>
      </c>
      <c r="B46" s="85" t="s">
        <v>38</v>
      </c>
      <c r="C46" s="85" t="s">
        <v>30</v>
      </c>
      <c r="D46" s="111"/>
      <c r="E46" s="111"/>
      <c r="F46" s="85">
        <v>70</v>
      </c>
      <c r="G46" s="85">
        <v>37</v>
      </c>
      <c r="H46" s="85">
        <v>110</v>
      </c>
      <c r="I46" s="85">
        <v>73.3</v>
      </c>
      <c r="J46" s="85">
        <v>119</v>
      </c>
      <c r="K46" s="85"/>
      <c r="L46" s="85"/>
      <c r="M46" s="85"/>
      <c r="N46" s="85"/>
      <c r="O46" s="85">
        <f t="shared" si="2"/>
        <v>110</v>
      </c>
      <c r="P46" s="85">
        <f t="shared" si="3"/>
        <v>73.3</v>
      </c>
      <c r="Q46" s="85">
        <f t="shared" si="4"/>
        <v>119</v>
      </c>
      <c r="R46" s="50">
        <f t="shared" si="5"/>
        <v>0</v>
      </c>
      <c r="S46" s="70">
        <f t="shared" si="6"/>
        <v>0</v>
      </c>
      <c r="T46" s="70">
        <f t="shared" si="7"/>
        <v>0</v>
      </c>
      <c r="U46" s="70">
        <f t="shared" si="8"/>
        <v>0</v>
      </c>
      <c r="V46" s="70">
        <f t="shared" si="9"/>
        <v>0</v>
      </c>
      <c r="W46" s="70">
        <f t="shared" si="10"/>
        <v>0</v>
      </c>
      <c r="X46" s="345">
        <f t="shared" si="11"/>
        <v>0</v>
      </c>
      <c r="Y46" s="345">
        <f t="shared" si="12"/>
        <v>0</v>
      </c>
      <c r="Z46" s="85"/>
      <c r="AA46" s="85">
        <v>0.5</v>
      </c>
      <c r="AB46" s="85">
        <v>0</v>
      </c>
      <c r="AC46" s="86">
        <f t="shared" si="13"/>
        <v>0</v>
      </c>
      <c r="AD46" s="86">
        <f t="shared" si="14"/>
        <v>0</v>
      </c>
    </row>
    <row r="47" spans="1:30" ht="31.5" x14ac:dyDescent="0.25">
      <c r="A47" s="85" t="s">
        <v>254</v>
      </c>
      <c r="B47" s="85" t="s">
        <v>38</v>
      </c>
      <c r="C47" s="85" t="s">
        <v>37</v>
      </c>
      <c r="D47" s="111"/>
      <c r="E47" s="111"/>
      <c r="F47" s="85">
        <v>70</v>
      </c>
      <c r="G47" s="85">
        <v>0.4</v>
      </c>
      <c r="H47" s="85">
        <v>1.2</v>
      </c>
      <c r="I47" s="85">
        <v>0.8</v>
      </c>
      <c r="J47" s="85">
        <v>1.5</v>
      </c>
      <c r="K47" s="85">
        <v>31.2</v>
      </c>
      <c r="L47" s="85">
        <v>108.8</v>
      </c>
      <c r="M47" s="85">
        <v>72.5</v>
      </c>
      <c r="N47" s="85">
        <v>117.5</v>
      </c>
      <c r="O47" s="85">
        <f t="shared" si="2"/>
        <v>110</v>
      </c>
      <c r="P47" s="85">
        <f t="shared" si="3"/>
        <v>73.3</v>
      </c>
      <c r="Q47" s="85">
        <f t="shared" si="4"/>
        <v>119</v>
      </c>
      <c r="R47" s="50">
        <f t="shared" si="5"/>
        <v>0</v>
      </c>
      <c r="S47" s="70">
        <f t="shared" si="6"/>
        <v>0</v>
      </c>
      <c r="T47" s="70">
        <f t="shared" si="7"/>
        <v>0</v>
      </c>
      <c r="U47" s="70">
        <f t="shared" si="8"/>
        <v>0</v>
      </c>
      <c r="V47" s="70">
        <f t="shared" si="9"/>
        <v>0</v>
      </c>
      <c r="W47" s="70">
        <f t="shared" si="10"/>
        <v>0</v>
      </c>
      <c r="X47" s="345">
        <f t="shared" si="11"/>
        <v>0</v>
      </c>
      <c r="Y47" s="345">
        <f t="shared" si="12"/>
        <v>0</v>
      </c>
      <c r="Z47" s="85"/>
      <c r="AA47" s="85">
        <v>0.3</v>
      </c>
      <c r="AB47" s="85">
        <v>0</v>
      </c>
      <c r="AC47" s="86">
        <f t="shared" si="13"/>
        <v>0</v>
      </c>
      <c r="AD47" s="86">
        <f t="shared" si="14"/>
        <v>0</v>
      </c>
    </row>
    <row r="48" spans="1:30" ht="42" x14ac:dyDescent="0.25">
      <c r="A48" s="85" t="s">
        <v>255</v>
      </c>
      <c r="B48" s="85" t="s">
        <v>38</v>
      </c>
      <c r="C48" s="85" t="s">
        <v>37</v>
      </c>
      <c r="D48" s="111"/>
      <c r="E48" s="111"/>
      <c r="F48" s="85">
        <v>70</v>
      </c>
      <c r="G48" s="85">
        <v>0.4</v>
      </c>
      <c r="H48" s="85">
        <v>1.2</v>
      </c>
      <c r="I48" s="85">
        <v>0.8</v>
      </c>
      <c r="J48" s="85">
        <v>1.5</v>
      </c>
      <c r="K48" s="85">
        <v>31.2</v>
      </c>
      <c r="L48" s="85">
        <v>108.8</v>
      </c>
      <c r="M48" s="85">
        <v>72.5</v>
      </c>
      <c r="N48" s="85">
        <v>117.5</v>
      </c>
      <c r="O48" s="85">
        <f t="shared" si="2"/>
        <v>110</v>
      </c>
      <c r="P48" s="85">
        <f t="shared" si="3"/>
        <v>73.3</v>
      </c>
      <c r="Q48" s="85">
        <f t="shared" si="4"/>
        <v>119</v>
      </c>
      <c r="R48" s="50">
        <f t="shared" si="5"/>
        <v>0</v>
      </c>
      <c r="S48" s="70">
        <f t="shared" si="6"/>
        <v>0</v>
      </c>
      <c r="T48" s="70">
        <f t="shared" si="7"/>
        <v>0</v>
      </c>
      <c r="U48" s="70">
        <f t="shared" si="8"/>
        <v>0</v>
      </c>
      <c r="V48" s="70">
        <f t="shared" si="9"/>
        <v>0</v>
      </c>
      <c r="W48" s="70">
        <f t="shared" si="10"/>
        <v>0</v>
      </c>
      <c r="X48" s="345">
        <f t="shared" si="11"/>
        <v>0</v>
      </c>
      <c r="Y48" s="345">
        <f t="shared" si="12"/>
        <v>0</v>
      </c>
      <c r="Z48" s="85"/>
      <c r="AA48" s="85">
        <v>0.5</v>
      </c>
      <c r="AB48" s="85">
        <v>0</v>
      </c>
      <c r="AC48" s="86">
        <f t="shared" si="13"/>
        <v>0</v>
      </c>
      <c r="AD48" s="86">
        <f t="shared" si="14"/>
        <v>0</v>
      </c>
    </row>
    <row r="49" spans="1:30" ht="31.5" x14ac:dyDescent="0.25">
      <c r="A49" s="85" t="s">
        <v>254</v>
      </c>
      <c r="B49" s="85" t="s">
        <v>38</v>
      </c>
      <c r="C49" s="85" t="s">
        <v>123</v>
      </c>
      <c r="D49" s="111"/>
      <c r="E49" s="111"/>
      <c r="F49" s="85">
        <v>70</v>
      </c>
      <c r="G49" s="85"/>
      <c r="H49" s="85"/>
      <c r="I49" s="85"/>
      <c r="J49" s="85"/>
      <c r="K49" s="85">
        <v>31.6</v>
      </c>
      <c r="L49" s="85">
        <v>110</v>
      </c>
      <c r="M49" s="85">
        <v>73.3</v>
      </c>
      <c r="N49" s="85">
        <v>119</v>
      </c>
      <c r="O49" s="85">
        <f t="shared" si="2"/>
        <v>110</v>
      </c>
      <c r="P49" s="85">
        <f t="shared" si="3"/>
        <v>73.3</v>
      </c>
      <c r="Q49" s="85">
        <f t="shared" si="4"/>
        <v>119</v>
      </c>
      <c r="R49" s="50">
        <f t="shared" si="5"/>
        <v>0</v>
      </c>
      <c r="S49" s="70">
        <f t="shared" si="6"/>
        <v>0</v>
      </c>
      <c r="T49" s="70">
        <f t="shared" si="7"/>
        <v>0</v>
      </c>
      <c r="U49" s="70">
        <f t="shared" si="8"/>
        <v>0</v>
      </c>
      <c r="V49" s="70">
        <f t="shared" si="9"/>
        <v>0</v>
      </c>
      <c r="W49" s="70">
        <f t="shared" si="10"/>
        <v>0</v>
      </c>
      <c r="X49" s="345">
        <f t="shared" si="11"/>
        <v>0</v>
      </c>
      <c r="Y49" s="345">
        <f t="shared" si="12"/>
        <v>0</v>
      </c>
      <c r="Z49" s="85"/>
      <c r="AA49" s="85">
        <v>0.3</v>
      </c>
      <c r="AB49" s="85">
        <v>0</v>
      </c>
      <c r="AC49" s="86">
        <f t="shared" si="13"/>
        <v>0</v>
      </c>
      <c r="AD49" s="86">
        <f t="shared" si="14"/>
        <v>0</v>
      </c>
    </row>
    <row r="50" spans="1:30" ht="42" x14ac:dyDescent="0.25">
      <c r="A50" s="85" t="s">
        <v>255</v>
      </c>
      <c r="B50" s="85" t="s">
        <v>38</v>
      </c>
      <c r="C50" s="85" t="s">
        <v>123</v>
      </c>
      <c r="D50" s="111"/>
      <c r="E50" s="111"/>
      <c r="F50" s="85">
        <v>70</v>
      </c>
      <c r="G50" s="85"/>
      <c r="H50" s="85"/>
      <c r="I50" s="85"/>
      <c r="J50" s="85"/>
      <c r="K50" s="85">
        <v>31.6</v>
      </c>
      <c r="L50" s="85">
        <v>110</v>
      </c>
      <c r="M50" s="85">
        <v>73.3</v>
      </c>
      <c r="N50" s="85">
        <v>119</v>
      </c>
      <c r="O50" s="85">
        <f t="shared" si="2"/>
        <v>110</v>
      </c>
      <c r="P50" s="85">
        <f t="shared" si="3"/>
        <v>73.3</v>
      </c>
      <c r="Q50" s="85">
        <f t="shared" si="4"/>
        <v>119</v>
      </c>
      <c r="R50" s="50">
        <f t="shared" si="5"/>
        <v>0</v>
      </c>
      <c r="S50" s="70">
        <f t="shared" si="6"/>
        <v>0</v>
      </c>
      <c r="T50" s="70">
        <f t="shared" si="7"/>
        <v>0</v>
      </c>
      <c r="U50" s="70">
        <f t="shared" si="8"/>
        <v>0</v>
      </c>
      <c r="V50" s="70">
        <f t="shared" si="9"/>
        <v>0</v>
      </c>
      <c r="W50" s="70">
        <f t="shared" si="10"/>
        <v>0</v>
      </c>
      <c r="X50" s="345">
        <f t="shared" si="11"/>
        <v>0</v>
      </c>
      <c r="Y50" s="345">
        <f t="shared" si="12"/>
        <v>0</v>
      </c>
      <c r="Z50" s="85"/>
      <c r="AA50" s="85">
        <v>0.5</v>
      </c>
      <c r="AB50" s="85">
        <v>0</v>
      </c>
      <c r="AC50" s="86">
        <f t="shared" si="13"/>
        <v>0</v>
      </c>
      <c r="AD50" s="86">
        <f t="shared" si="14"/>
        <v>0</v>
      </c>
    </row>
    <row r="51" spans="1:30" ht="31.5" x14ac:dyDescent="0.25">
      <c r="A51" s="85" t="s">
        <v>254</v>
      </c>
      <c r="B51" s="85" t="s">
        <v>38</v>
      </c>
      <c r="C51" s="85" t="s">
        <v>36</v>
      </c>
      <c r="D51" s="111"/>
      <c r="E51" s="111"/>
      <c r="F51" s="85">
        <v>70</v>
      </c>
      <c r="G51" s="85">
        <v>6</v>
      </c>
      <c r="H51" s="85">
        <v>17.8</v>
      </c>
      <c r="I51" s="85">
        <v>11.9</v>
      </c>
      <c r="J51" s="85">
        <v>22.9</v>
      </c>
      <c r="K51" s="85">
        <v>25.2</v>
      </c>
      <c r="L51" s="85">
        <v>92.2</v>
      </c>
      <c r="M51" s="85">
        <v>61.5</v>
      </c>
      <c r="N51" s="85">
        <v>96.1</v>
      </c>
      <c r="O51" s="85">
        <f t="shared" si="2"/>
        <v>110</v>
      </c>
      <c r="P51" s="85">
        <f t="shared" si="3"/>
        <v>73.400000000000006</v>
      </c>
      <c r="Q51" s="85">
        <f t="shared" si="4"/>
        <v>119</v>
      </c>
      <c r="R51" s="50">
        <f t="shared" si="5"/>
        <v>0</v>
      </c>
      <c r="S51" s="70">
        <f t="shared" si="6"/>
        <v>0</v>
      </c>
      <c r="T51" s="70">
        <f t="shared" si="7"/>
        <v>0</v>
      </c>
      <c r="U51" s="70">
        <f t="shared" si="8"/>
        <v>0</v>
      </c>
      <c r="V51" s="70">
        <f t="shared" si="9"/>
        <v>0</v>
      </c>
      <c r="W51" s="70">
        <f t="shared" si="10"/>
        <v>0</v>
      </c>
      <c r="X51" s="345">
        <f t="shared" si="11"/>
        <v>0</v>
      </c>
      <c r="Y51" s="345">
        <f t="shared" si="12"/>
        <v>0</v>
      </c>
      <c r="Z51" s="85"/>
      <c r="AA51" s="85">
        <v>0.3</v>
      </c>
      <c r="AB51" s="85">
        <v>0</v>
      </c>
      <c r="AC51" s="86">
        <f t="shared" si="13"/>
        <v>0</v>
      </c>
      <c r="AD51" s="86">
        <f t="shared" si="14"/>
        <v>0</v>
      </c>
    </row>
    <row r="52" spans="1:30" ht="42" x14ac:dyDescent="0.25">
      <c r="A52" s="85" t="s">
        <v>255</v>
      </c>
      <c r="B52" s="85" t="s">
        <v>38</v>
      </c>
      <c r="C52" s="85" t="s">
        <v>36</v>
      </c>
      <c r="D52" s="111"/>
      <c r="E52" s="111"/>
      <c r="F52" s="85">
        <v>70</v>
      </c>
      <c r="G52" s="85">
        <v>6</v>
      </c>
      <c r="H52" s="85">
        <v>17.8</v>
      </c>
      <c r="I52" s="85">
        <v>11.9</v>
      </c>
      <c r="J52" s="85">
        <v>22.9</v>
      </c>
      <c r="K52" s="85">
        <v>25.2</v>
      </c>
      <c r="L52" s="85">
        <v>92.2</v>
      </c>
      <c r="M52" s="85">
        <v>61.5</v>
      </c>
      <c r="N52" s="85">
        <v>96.1</v>
      </c>
      <c r="O52" s="85">
        <f t="shared" si="2"/>
        <v>110</v>
      </c>
      <c r="P52" s="85">
        <f t="shared" si="3"/>
        <v>73.400000000000006</v>
      </c>
      <c r="Q52" s="85">
        <f t="shared" si="4"/>
        <v>119</v>
      </c>
      <c r="R52" s="50">
        <f t="shared" si="5"/>
        <v>0</v>
      </c>
      <c r="S52" s="70">
        <f t="shared" si="6"/>
        <v>0</v>
      </c>
      <c r="T52" s="70">
        <f t="shared" si="7"/>
        <v>0</v>
      </c>
      <c r="U52" s="70">
        <f t="shared" si="8"/>
        <v>0</v>
      </c>
      <c r="V52" s="70">
        <f t="shared" si="9"/>
        <v>0</v>
      </c>
      <c r="W52" s="70">
        <f t="shared" si="10"/>
        <v>0</v>
      </c>
      <c r="X52" s="345">
        <f t="shared" si="11"/>
        <v>0</v>
      </c>
      <c r="Y52" s="345">
        <f t="shared" si="12"/>
        <v>0</v>
      </c>
      <c r="Z52" s="85"/>
      <c r="AA52" s="85">
        <v>0.5</v>
      </c>
      <c r="AB52" s="85">
        <v>0</v>
      </c>
      <c r="AC52" s="86">
        <f t="shared" si="13"/>
        <v>0</v>
      </c>
      <c r="AD52" s="86">
        <f t="shared" si="14"/>
        <v>0</v>
      </c>
    </row>
    <row r="53" spans="1:30" ht="52.5" x14ac:dyDescent="0.25">
      <c r="A53" s="85" t="s">
        <v>254</v>
      </c>
      <c r="B53" s="85" t="s">
        <v>444</v>
      </c>
      <c r="C53" s="85" t="s">
        <v>34</v>
      </c>
      <c r="D53" s="111"/>
      <c r="E53" s="111"/>
      <c r="F53" s="85">
        <v>70</v>
      </c>
      <c r="G53" s="85">
        <v>44</v>
      </c>
      <c r="H53" s="85">
        <v>110</v>
      </c>
      <c r="I53" s="85">
        <v>104</v>
      </c>
      <c r="J53" s="85">
        <v>119</v>
      </c>
      <c r="K53" s="85"/>
      <c r="L53" s="85"/>
      <c r="M53" s="85"/>
      <c r="N53" s="85"/>
      <c r="O53" s="85">
        <f>H53+L53</f>
        <v>110</v>
      </c>
      <c r="P53" s="85">
        <f t="shared" si="3"/>
        <v>104</v>
      </c>
      <c r="Q53" s="85">
        <f t="shared" si="4"/>
        <v>119</v>
      </c>
      <c r="R53" s="50">
        <f t="shared" ref="R53:R63" si="15">IF(E53="SI", D53*F53/1000*K53, 0)</f>
        <v>0</v>
      </c>
      <c r="S53" s="70">
        <f t="shared" ref="S53:S63" si="16">(D53*F53/1000*G53)+R53</f>
        <v>0</v>
      </c>
      <c r="T53" s="70">
        <f t="shared" ref="T53:T63" si="17">(D53*F53/1000*K53)-R53</f>
        <v>0</v>
      </c>
      <c r="U53" s="70">
        <f t="shared" ref="U53:U63" si="18">IF(R53=0,H53*D53*F53/1000,((H53*D53*F53/1000)+(L53*D53*F53/1000)))</f>
        <v>0</v>
      </c>
      <c r="V53" s="70">
        <f t="shared" ref="V53:V63" si="19">IF(R53=0, L53*D53*F53/1000, 0)</f>
        <v>0</v>
      </c>
      <c r="W53" s="70">
        <f t="shared" ref="W53:W63" si="20">D53*F53/1000</f>
        <v>0</v>
      </c>
      <c r="X53" s="345">
        <f t="shared" ref="X53:X63" si="21">IF(R53=0,D53*F53/1000*I53+D53*F53/1000*M53,(I53*D53*F53/1000)+(M53*D53*F53/1000))</f>
        <v>0</v>
      </c>
      <c r="Y53" s="345">
        <f t="shared" ref="Y53:Y63" si="22">IF(R53=0,D53*F53/1000*J53+D53*F53/1000*N53,(J53*D53*F53/1000)+(N53*D53*F53/1000))</f>
        <v>0</v>
      </c>
      <c r="Z53" s="85"/>
      <c r="AA53" s="85">
        <v>0.3</v>
      </c>
      <c r="AB53" s="85">
        <v>0</v>
      </c>
      <c r="AC53" s="86">
        <f t="shared" ref="AC53:AC63" si="23">AA53*D53</f>
        <v>0</v>
      </c>
      <c r="AD53" s="86">
        <f t="shared" ref="AD53:AD63" si="24">AB53*D53</f>
        <v>0</v>
      </c>
    </row>
    <row r="54" spans="1:30" ht="52.5" x14ac:dyDescent="0.25">
      <c r="A54" s="85" t="s">
        <v>254</v>
      </c>
      <c r="B54" s="85" t="s">
        <v>444</v>
      </c>
      <c r="C54" s="85" t="s">
        <v>32</v>
      </c>
      <c r="D54" s="111"/>
      <c r="E54" s="111"/>
      <c r="F54" s="85">
        <v>70</v>
      </c>
      <c r="G54" s="85">
        <v>55</v>
      </c>
      <c r="H54" s="85">
        <v>110</v>
      </c>
      <c r="I54" s="85">
        <v>104</v>
      </c>
      <c r="J54" s="85">
        <v>119</v>
      </c>
      <c r="K54" s="85"/>
      <c r="L54" s="85"/>
      <c r="M54" s="85"/>
      <c r="N54" s="85"/>
      <c r="O54" s="85">
        <f t="shared" ref="O54:O63" si="25">H54+L54</f>
        <v>110</v>
      </c>
      <c r="P54" s="85">
        <f t="shared" si="3"/>
        <v>104</v>
      </c>
      <c r="Q54" s="85">
        <f t="shared" si="4"/>
        <v>119</v>
      </c>
      <c r="R54" s="50">
        <f t="shared" si="15"/>
        <v>0</v>
      </c>
      <c r="S54" s="70">
        <f t="shared" si="16"/>
        <v>0</v>
      </c>
      <c r="T54" s="70">
        <f t="shared" si="17"/>
        <v>0</v>
      </c>
      <c r="U54" s="70">
        <f t="shared" si="18"/>
        <v>0</v>
      </c>
      <c r="V54" s="70">
        <f t="shared" si="19"/>
        <v>0</v>
      </c>
      <c r="W54" s="70">
        <f t="shared" si="20"/>
        <v>0</v>
      </c>
      <c r="X54" s="345">
        <f t="shared" si="21"/>
        <v>0</v>
      </c>
      <c r="Y54" s="345">
        <f t="shared" si="22"/>
        <v>0</v>
      </c>
      <c r="Z54" s="85"/>
      <c r="AA54" s="85">
        <v>0.3</v>
      </c>
      <c r="AB54" s="85">
        <v>0</v>
      </c>
      <c r="AC54" s="86">
        <f t="shared" si="23"/>
        <v>0</v>
      </c>
      <c r="AD54" s="86">
        <f t="shared" si="24"/>
        <v>0</v>
      </c>
    </row>
    <row r="55" spans="1:30" ht="52.5" x14ac:dyDescent="0.25">
      <c r="A55" s="85" t="s">
        <v>254</v>
      </c>
      <c r="B55" s="85" t="s">
        <v>444</v>
      </c>
      <c r="C55" s="85" t="s">
        <v>31</v>
      </c>
      <c r="D55" s="111"/>
      <c r="E55" s="111"/>
      <c r="F55" s="85">
        <v>70</v>
      </c>
      <c r="G55" s="85">
        <v>73</v>
      </c>
      <c r="H55" s="85">
        <v>110</v>
      </c>
      <c r="I55" s="85">
        <v>104</v>
      </c>
      <c r="J55" s="85">
        <v>119</v>
      </c>
      <c r="K55" s="85"/>
      <c r="L55" s="85"/>
      <c r="M55" s="85"/>
      <c r="N55" s="85"/>
      <c r="O55" s="85">
        <f t="shared" si="25"/>
        <v>110</v>
      </c>
      <c r="P55" s="85">
        <f t="shared" si="3"/>
        <v>104</v>
      </c>
      <c r="Q55" s="85">
        <f t="shared" si="4"/>
        <v>119</v>
      </c>
      <c r="R55" s="50">
        <f t="shared" si="15"/>
        <v>0</v>
      </c>
      <c r="S55" s="70">
        <f t="shared" si="16"/>
        <v>0</v>
      </c>
      <c r="T55" s="70">
        <f t="shared" si="17"/>
        <v>0</v>
      </c>
      <c r="U55" s="70">
        <f t="shared" si="18"/>
        <v>0</v>
      </c>
      <c r="V55" s="70">
        <f t="shared" si="19"/>
        <v>0</v>
      </c>
      <c r="W55" s="70">
        <f t="shared" si="20"/>
        <v>0</v>
      </c>
      <c r="X55" s="345">
        <f t="shared" si="21"/>
        <v>0</v>
      </c>
      <c r="Y55" s="345">
        <f t="shared" si="22"/>
        <v>0</v>
      </c>
      <c r="Z55" s="85"/>
      <c r="AA55" s="85">
        <v>0.3</v>
      </c>
      <c r="AB55" s="85">
        <v>0</v>
      </c>
      <c r="AC55" s="86">
        <f t="shared" si="23"/>
        <v>0</v>
      </c>
      <c r="AD55" s="86">
        <f t="shared" si="24"/>
        <v>0</v>
      </c>
    </row>
    <row r="56" spans="1:30" ht="42" x14ac:dyDescent="0.25">
      <c r="A56" s="85" t="s">
        <v>254</v>
      </c>
      <c r="B56" s="85" t="s">
        <v>444</v>
      </c>
      <c r="C56" s="85" t="s">
        <v>33</v>
      </c>
      <c r="D56" s="111"/>
      <c r="E56" s="111"/>
      <c r="F56" s="85">
        <v>70</v>
      </c>
      <c r="G56" s="85">
        <v>55</v>
      </c>
      <c r="H56" s="85">
        <v>110</v>
      </c>
      <c r="I56" s="85">
        <v>104</v>
      </c>
      <c r="J56" s="85">
        <v>119</v>
      </c>
      <c r="K56" s="85"/>
      <c r="L56" s="85"/>
      <c r="M56" s="85"/>
      <c r="N56" s="85"/>
      <c r="O56" s="85">
        <f t="shared" si="25"/>
        <v>110</v>
      </c>
      <c r="P56" s="85">
        <f t="shared" si="3"/>
        <v>104</v>
      </c>
      <c r="Q56" s="85">
        <f t="shared" si="4"/>
        <v>119</v>
      </c>
      <c r="R56" s="50">
        <f t="shared" si="15"/>
        <v>0</v>
      </c>
      <c r="S56" s="70">
        <f t="shared" si="16"/>
        <v>0</v>
      </c>
      <c r="T56" s="70">
        <f t="shared" si="17"/>
        <v>0</v>
      </c>
      <c r="U56" s="70">
        <f t="shared" si="18"/>
        <v>0</v>
      </c>
      <c r="V56" s="70">
        <f t="shared" si="19"/>
        <v>0</v>
      </c>
      <c r="W56" s="70">
        <f t="shared" si="20"/>
        <v>0</v>
      </c>
      <c r="X56" s="345">
        <f t="shared" si="21"/>
        <v>0</v>
      </c>
      <c r="Y56" s="345">
        <f t="shared" si="22"/>
        <v>0</v>
      </c>
      <c r="Z56" s="85"/>
      <c r="AA56" s="85">
        <v>0.3</v>
      </c>
      <c r="AB56" s="85">
        <v>0</v>
      </c>
      <c r="AC56" s="86">
        <f t="shared" si="23"/>
        <v>0</v>
      </c>
      <c r="AD56" s="86">
        <f t="shared" si="24"/>
        <v>0</v>
      </c>
    </row>
    <row r="57" spans="1:30" ht="52.5" x14ac:dyDescent="0.25">
      <c r="A57" s="85" t="s">
        <v>254</v>
      </c>
      <c r="B57" s="85" t="s">
        <v>444</v>
      </c>
      <c r="C57" s="85" t="s">
        <v>445</v>
      </c>
      <c r="D57" s="111"/>
      <c r="E57" s="111"/>
      <c r="F57" s="85">
        <v>70</v>
      </c>
      <c r="G57" s="85">
        <v>37</v>
      </c>
      <c r="H57" s="85">
        <v>110</v>
      </c>
      <c r="I57" s="85">
        <v>104</v>
      </c>
      <c r="J57" s="85">
        <v>119</v>
      </c>
      <c r="K57" s="85"/>
      <c r="L57" s="85"/>
      <c r="M57" s="85"/>
      <c r="N57" s="85"/>
      <c r="O57" s="85">
        <f t="shared" si="25"/>
        <v>110</v>
      </c>
      <c r="P57" s="85">
        <f t="shared" si="3"/>
        <v>104</v>
      </c>
      <c r="Q57" s="85">
        <f t="shared" si="4"/>
        <v>119</v>
      </c>
      <c r="R57" s="50">
        <f t="shared" si="15"/>
        <v>0</v>
      </c>
      <c r="S57" s="70">
        <f t="shared" si="16"/>
        <v>0</v>
      </c>
      <c r="T57" s="70">
        <f t="shared" si="17"/>
        <v>0</v>
      </c>
      <c r="U57" s="70">
        <f t="shared" si="18"/>
        <v>0</v>
      </c>
      <c r="V57" s="70">
        <f t="shared" si="19"/>
        <v>0</v>
      </c>
      <c r="W57" s="70">
        <f t="shared" si="20"/>
        <v>0</v>
      </c>
      <c r="X57" s="345">
        <f t="shared" si="21"/>
        <v>0</v>
      </c>
      <c r="Y57" s="345">
        <f t="shared" si="22"/>
        <v>0</v>
      </c>
      <c r="Z57" s="85"/>
      <c r="AA57" s="85">
        <v>0.3</v>
      </c>
      <c r="AB57" s="85">
        <v>0</v>
      </c>
      <c r="AC57" s="86">
        <f t="shared" si="23"/>
        <v>0</v>
      </c>
      <c r="AD57" s="86">
        <f t="shared" si="24"/>
        <v>0</v>
      </c>
    </row>
    <row r="58" spans="1:30" ht="52.5" x14ac:dyDescent="0.25">
      <c r="A58" s="85" t="s">
        <v>254</v>
      </c>
      <c r="B58" s="85" t="s">
        <v>444</v>
      </c>
      <c r="C58" s="85" t="s">
        <v>29</v>
      </c>
      <c r="D58" s="111"/>
      <c r="E58" s="111"/>
      <c r="F58" s="85">
        <v>70</v>
      </c>
      <c r="G58" s="85">
        <v>44</v>
      </c>
      <c r="H58" s="85">
        <v>110</v>
      </c>
      <c r="I58" s="85">
        <v>104</v>
      </c>
      <c r="J58" s="85">
        <v>119</v>
      </c>
      <c r="K58" s="85"/>
      <c r="L58" s="85"/>
      <c r="M58" s="85"/>
      <c r="N58" s="85"/>
      <c r="O58" s="85">
        <f t="shared" si="25"/>
        <v>110</v>
      </c>
      <c r="P58" s="85">
        <f t="shared" si="3"/>
        <v>104</v>
      </c>
      <c r="Q58" s="85">
        <f t="shared" si="4"/>
        <v>119</v>
      </c>
      <c r="R58" s="50">
        <f t="shared" si="15"/>
        <v>0</v>
      </c>
      <c r="S58" s="70">
        <f t="shared" si="16"/>
        <v>0</v>
      </c>
      <c r="T58" s="70">
        <f t="shared" si="17"/>
        <v>0</v>
      </c>
      <c r="U58" s="70">
        <f t="shared" si="18"/>
        <v>0</v>
      </c>
      <c r="V58" s="70">
        <f t="shared" si="19"/>
        <v>0</v>
      </c>
      <c r="W58" s="70">
        <f t="shared" si="20"/>
        <v>0</v>
      </c>
      <c r="X58" s="345">
        <f t="shared" si="21"/>
        <v>0</v>
      </c>
      <c r="Y58" s="345">
        <f t="shared" si="22"/>
        <v>0</v>
      </c>
      <c r="Z58" s="85"/>
      <c r="AA58" s="85">
        <v>0.3</v>
      </c>
      <c r="AB58" s="85">
        <v>0</v>
      </c>
      <c r="AC58" s="86">
        <f t="shared" si="23"/>
        <v>0</v>
      </c>
      <c r="AD58" s="86">
        <f t="shared" si="24"/>
        <v>0</v>
      </c>
    </row>
    <row r="59" spans="1:30" ht="42" x14ac:dyDescent="0.25">
      <c r="A59" s="85" t="s">
        <v>254</v>
      </c>
      <c r="B59" s="85" t="s">
        <v>444</v>
      </c>
      <c r="C59" s="85" t="s">
        <v>28</v>
      </c>
      <c r="D59" s="111"/>
      <c r="E59" s="111"/>
      <c r="F59" s="85">
        <v>70</v>
      </c>
      <c r="G59" s="85">
        <v>73</v>
      </c>
      <c r="H59" s="85">
        <v>110</v>
      </c>
      <c r="I59" s="85">
        <v>104</v>
      </c>
      <c r="J59" s="85">
        <v>119</v>
      </c>
      <c r="K59" s="85"/>
      <c r="L59" s="85"/>
      <c r="M59" s="85"/>
      <c r="N59" s="85"/>
      <c r="O59" s="85">
        <f t="shared" si="25"/>
        <v>110</v>
      </c>
      <c r="P59" s="85">
        <f t="shared" si="3"/>
        <v>104</v>
      </c>
      <c r="Q59" s="85">
        <f t="shared" si="4"/>
        <v>119</v>
      </c>
      <c r="R59" s="50">
        <f t="shared" si="15"/>
        <v>0</v>
      </c>
      <c r="S59" s="70">
        <f t="shared" si="16"/>
        <v>0</v>
      </c>
      <c r="T59" s="70">
        <f t="shared" si="17"/>
        <v>0</v>
      </c>
      <c r="U59" s="70">
        <f t="shared" si="18"/>
        <v>0</v>
      </c>
      <c r="V59" s="70">
        <f t="shared" si="19"/>
        <v>0</v>
      </c>
      <c r="W59" s="70">
        <f t="shared" si="20"/>
        <v>0</v>
      </c>
      <c r="X59" s="345">
        <f t="shared" si="21"/>
        <v>0</v>
      </c>
      <c r="Y59" s="345">
        <f t="shared" si="22"/>
        <v>0</v>
      </c>
      <c r="Z59" s="85"/>
      <c r="AA59" s="85">
        <v>0.3</v>
      </c>
      <c r="AB59" s="85">
        <v>0</v>
      </c>
      <c r="AC59" s="86">
        <f t="shared" si="23"/>
        <v>0</v>
      </c>
      <c r="AD59" s="86">
        <f t="shared" si="24"/>
        <v>0</v>
      </c>
    </row>
    <row r="60" spans="1:30" ht="42" x14ac:dyDescent="0.25">
      <c r="A60" s="85" t="s">
        <v>254</v>
      </c>
      <c r="B60" s="85" t="s">
        <v>444</v>
      </c>
      <c r="C60" s="85" t="s">
        <v>30</v>
      </c>
      <c r="D60" s="111"/>
      <c r="E60" s="111"/>
      <c r="F60" s="85">
        <v>70</v>
      </c>
      <c r="G60" s="85">
        <v>37</v>
      </c>
      <c r="H60" s="85">
        <v>110</v>
      </c>
      <c r="I60" s="85">
        <v>104</v>
      </c>
      <c r="J60" s="85">
        <v>119</v>
      </c>
      <c r="K60" s="85"/>
      <c r="L60" s="85"/>
      <c r="M60" s="85"/>
      <c r="N60" s="85"/>
      <c r="O60" s="85">
        <f t="shared" si="25"/>
        <v>110</v>
      </c>
      <c r="P60" s="85">
        <f t="shared" si="3"/>
        <v>104</v>
      </c>
      <c r="Q60" s="85">
        <f t="shared" si="4"/>
        <v>119</v>
      </c>
      <c r="R60" s="50">
        <f t="shared" si="15"/>
        <v>0</v>
      </c>
      <c r="S60" s="70">
        <f t="shared" si="16"/>
        <v>0</v>
      </c>
      <c r="T60" s="70">
        <f t="shared" si="17"/>
        <v>0</v>
      </c>
      <c r="U60" s="70">
        <f t="shared" si="18"/>
        <v>0</v>
      </c>
      <c r="V60" s="70">
        <f t="shared" si="19"/>
        <v>0</v>
      </c>
      <c r="W60" s="70">
        <f t="shared" si="20"/>
        <v>0</v>
      </c>
      <c r="X60" s="345">
        <f t="shared" si="21"/>
        <v>0</v>
      </c>
      <c r="Y60" s="345">
        <f t="shared" si="22"/>
        <v>0</v>
      </c>
      <c r="Z60" s="85"/>
      <c r="AA60" s="85">
        <v>0.3</v>
      </c>
      <c r="AB60" s="85">
        <v>0</v>
      </c>
      <c r="AC60" s="86">
        <f t="shared" si="23"/>
        <v>0</v>
      </c>
      <c r="AD60" s="86">
        <f t="shared" si="24"/>
        <v>0</v>
      </c>
    </row>
    <row r="61" spans="1:30" ht="31.5" x14ac:dyDescent="0.25">
      <c r="A61" s="85" t="s">
        <v>254</v>
      </c>
      <c r="B61" s="85" t="s">
        <v>444</v>
      </c>
      <c r="C61" s="85" t="s">
        <v>37</v>
      </c>
      <c r="D61" s="111"/>
      <c r="E61" s="111"/>
      <c r="F61" s="85">
        <v>70</v>
      </c>
      <c r="G61" s="85">
        <v>0.4</v>
      </c>
      <c r="H61" s="85">
        <v>1.2</v>
      </c>
      <c r="I61" s="85">
        <v>1.3</v>
      </c>
      <c r="J61" s="85">
        <v>1.5</v>
      </c>
      <c r="K61" s="85">
        <v>31.2</v>
      </c>
      <c r="L61" s="85">
        <v>108.8</v>
      </c>
      <c r="M61" s="85">
        <v>102.7</v>
      </c>
      <c r="N61" s="85">
        <v>117.5</v>
      </c>
      <c r="O61" s="85">
        <f t="shared" si="25"/>
        <v>110</v>
      </c>
      <c r="P61" s="85">
        <f t="shared" si="3"/>
        <v>104</v>
      </c>
      <c r="Q61" s="85">
        <f t="shared" si="4"/>
        <v>119</v>
      </c>
      <c r="R61" s="50">
        <f t="shared" si="15"/>
        <v>0</v>
      </c>
      <c r="S61" s="70">
        <f t="shared" si="16"/>
        <v>0</v>
      </c>
      <c r="T61" s="70">
        <f t="shared" si="17"/>
        <v>0</v>
      </c>
      <c r="U61" s="70">
        <f t="shared" si="18"/>
        <v>0</v>
      </c>
      <c r="V61" s="70">
        <f t="shared" si="19"/>
        <v>0</v>
      </c>
      <c r="W61" s="70">
        <f t="shared" si="20"/>
        <v>0</v>
      </c>
      <c r="X61" s="345">
        <f t="shared" si="21"/>
        <v>0</v>
      </c>
      <c r="Y61" s="345">
        <f t="shared" si="22"/>
        <v>0</v>
      </c>
      <c r="Z61" s="85"/>
      <c r="AA61" s="85">
        <v>0.3</v>
      </c>
      <c r="AB61" s="85">
        <v>0</v>
      </c>
      <c r="AC61" s="86">
        <f t="shared" si="23"/>
        <v>0</v>
      </c>
      <c r="AD61" s="86">
        <f t="shared" si="24"/>
        <v>0</v>
      </c>
    </row>
    <row r="62" spans="1:30" ht="31.5" x14ac:dyDescent="0.25">
      <c r="A62" s="85" t="s">
        <v>254</v>
      </c>
      <c r="B62" s="85" t="s">
        <v>444</v>
      </c>
      <c r="C62" s="85" t="s">
        <v>123</v>
      </c>
      <c r="D62" s="111"/>
      <c r="E62" s="111"/>
      <c r="F62" s="85">
        <v>70</v>
      </c>
      <c r="G62" s="85"/>
      <c r="H62" s="85"/>
      <c r="I62" s="85"/>
      <c r="J62" s="85"/>
      <c r="K62" s="85">
        <v>31.6</v>
      </c>
      <c r="L62" s="85">
        <v>110</v>
      </c>
      <c r="M62" s="85">
        <v>104</v>
      </c>
      <c r="N62" s="85">
        <v>119</v>
      </c>
      <c r="O62" s="85">
        <f t="shared" si="25"/>
        <v>110</v>
      </c>
      <c r="P62" s="85">
        <f t="shared" si="3"/>
        <v>104</v>
      </c>
      <c r="Q62" s="85">
        <f t="shared" si="4"/>
        <v>119</v>
      </c>
      <c r="R62" s="50">
        <f t="shared" si="15"/>
        <v>0</v>
      </c>
      <c r="S62" s="70">
        <f t="shared" si="16"/>
        <v>0</v>
      </c>
      <c r="T62" s="70">
        <f t="shared" si="17"/>
        <v>0</v>
      </c>
      <c r="U62" s="70">
        <f t="shared" si="18"/>
        <v>0</v>
      </c>
      <c r="V62" s="70">
        <f t="shared" si="19"/>
        <v>0</v>
      </c>
      <c r="W62" s="70">
        <f t="shared" si="20"/>
        <v>0</v>
      </c>
      <c r="X62" s="345">
        <f t="shared" si="21"/>
        <v>0</v>
      </c>
      <c r="Y62" s="345">
        <f t="shared" si="22"/>
        <v>0</v>
      </c>
      <c r="Z62" s="85"/>
      <c r="AA62" s="85">
        <v>0.3</v>
      </c>
      <c r="AB62" s="85">
        <v>0</v>
      </c>
      <c r="AC62" s="86">
        <f t="shared" si="23"/>
        <v>0</v>
      </c>
      <c r="AD62" s="86">
        <f t="shared" si="24"/>
        <v>0</v>
      </c>
    </row>
    <row r="63" spans="1:30" ht="31.5" x14ac:dyDescent="0.25">
      <c r="A63" s="85" t="s">
        <v>254</v>
      </c>
      <c r="B63" s="85" t="s">
        <v>444</v>
      </c>
      <c r="C63" s="85" t="s">
        <v>36</v>
      </c>
      <c r="D63" s="111"/>
      <c r="E63" s="111"/>
      <c r="F63" s="85">
        <v>70</v>
      </c>
      <c r="G63" s="85">
        <v>6</v>
      </c>
      <c r="H63" s="85">
        <v>17.8</v>
      </c>
      <c r="I63" s="85">
        <v>20</v>
      </c>
      <c r="J63" s="85">
        <v>22.9</v>
      </c>
      <c r="K63" s="85">
        <v>25.2</v>
      </c>
      <c r="L63" s="85">
        <v>92.2</v>
      </c>
      <c r="M63" s="85">
        <v>84</v>
      </c>
      <c r="N63" s="85">
        <v>96.1</v>
      </c>
      <c r="O63" s="85">
        <f t="shared" si="25"/>
        <v>110</v>
      </c>
      <c r="P63" s="85">
        <f t="shared" si="3"/>
        <v>104</v>
      </c>
      <c r="Q63" s="85">
        <f t="shared" si="4"/>
        <v>119</v>
      </c>
      <c r="R63" s="50">
        <f t="shared" si="15"/>
        <v>0</v>
      </c>
      <c r="S63" s="70">
        <f t="shared" si="16"/>
        <v>0</v>
      </c>
      <c r="T63" s="70">
        <f t="shared" si="17"/>
        <v>0</v>
      </c>
      <c r="U63" s="70">
        <f t="shared" si="18"/>
        <v>0</v>
      </c>
      <c r="V63" s="70">
        <f t="shared" si="19"/>
        <v>0</v>
      </c>
      <c r="W63" s="70">
        <f t="shared" si="20"/>
        <v>0</v>
      </c>
      <c r="X63" s="345">
        <f t="shared" si="21"/>
        <v>0</v>
      </c>
      <c r="Y63" s="345">
        <f t="shared" si="22"/>
        <v>0</v>
      </c>
      <c r="Z63" s="85"/>
      <c r="AA63" s="85">
        <v>0.3</v>
      </c>
      <c r="AB63" s="85">
        <v>0</v>
      </c>
      <c r="AC63" s="86">
        <f t="shared" si="23"/>
        <v>0</v>
      </c>
      <c r="AD63" s="86">
        <f t="shared" si="24"/>
        <v>0</v>
      </c>
    </row>
    <row r="64" spans="1:30" ht="52.5" x14ac:dyDescent="0.25">
      <c r="A64" s="85" t="s">
        <v>254</v>
      </c>
      <c r="B64" s="85" t="s">
        <v>39</v>
      </c>
      <c r="C64" s="85" t="s">
        <v>34</v>
      </c>
      <c r="D64" s="111"/>
      <c r="E64" s="111"/>
      <c r="F64" s="85">
        <v>100</v>
      </c>
      <c r="G64" s="85">
        <v>44</v>
      </c>
      <c r="H64" s="85">
        <v>110</v>
      </c>
      <c r="I64" s="85">
        <v>73.3</v>
      </c>
      <c r="J64" s="85">
        <v>119</v>
      </c>
      <c r="K64" s="85"/>
      <c r="L64" s="85"/>
      <c r="M64" s="85"/>
      <c r="N64" s="85"/>
      <c r="O64" s="85">
        <f t="shared" si="2"/>
        <v>110</v>
      </c>
      <c r="P64" s="85">
        <f t="shared" si="3"/>
        <v>73.3</v>
      </c>
      <c r="Q64" s="85">
        <f t="shared" si="4"/>
        <v>119</v>
      </c>
      <c r="R64" s="50">
        <f t="shared" si="5"/>
        <v>0</v>
      </c>
      <c r="S64" s="70">
        <f t="shared" si="6"/>
        <v>0</v>
      </c>
      <c r="T64" s="70">
        <f t="shared" si="7"/>
        <v>0</v>
      </c>
      <c r="U64" s="70">
        <f t="shared" si="8"/>
        <v>0</v>
      </c>
      <c r="V64" s="70">
        <f t="shared" si="9"/>
        <v>0</v>
      </c>
      <c r="W64" s="70">
        <f t="shared" si="10"/>
        <v>0</v>
      </c>
      <c r="X64" s="345">
        <f t="shared" si="11"/>
        <v>0</v>
      </c>
      <c r="Y64" s="345">
        <f t="shared" si="12"/>
        <v>0</v>
      </c>
      <c r="Z64" s="85"/>
      <c r="AA64" s="85">
        <v>0.3</v>
      </c>
      <c r="AB64" s="85">
        <v>0</v>
      </c>
      <c r="AC64" s="86">
        <f t="shared" si="13"/>
        <v>0</v>
      </c>
      <c r="AD64" s="86">
        <f t="shared" si="14"/>
        <v>0</v>
      </c>
    </row>
    <row r="65" spans="1:30" ht="52.5" x14ac:dyDescent="0.25">
      <c r="A65" s="85" t="s">
        <v>254</v>
      </c>
      <c r="B65" s="85" t="s">
        <v>39</v>
      </c>
      <c r="C65" s="85" t="s">
        <v>32</v>
      </c>
      <c r="D65" s="111"/>
      <c r="E65" s="111"/>
      <c r="F65" s="85">
        <v>100</v>
      </c>
      <c r="G65" s="85">
        <v>55</v>
      </c>
      <c r="H65" s="85">
        <v>110</v>
      </c>
      <c r="I65" s="85">
        <v>73.3</v>
      </c>
      <c r="J65" s="85">
        <v>119</v>
      </c>
      <c r="K65" s="85"/>
      <c r="L65" s="85"/>
      <c r="M65" s="85"/>
      <c r="N65" s="85"/>
      <c r="O65" s="85">
        <f t="shared" si="2"/>
        <v>110</v>
      </c>
      <c r="P65" s="85">
        <f t="shared" si="3"/>
        <v>73.3</v>
      </c>
      <c r="Q65" s="85">
        <f t="shared" si="4"/>
        <v>119</v>
      </c>
      <c r="R65" s="50">
        <f t="shared" si="5"/>
        <v>0</v>
      </c>
      <c r="S65" s="70">
        <f t="shared" si="6"/>
        <v>0</v>
      </c>
      <c r="T65" s="70">
        <f t="shared" si="7"/>
        <v>0</v>
      </c>
      <c r="U65" s="70">
        <f t="shared" si="8"/>
        <v>0</v>
      </c>
      <c r="V65" s="70">
        <f t="shared" si="9"/>
        <v>0</v>
      </c>
      <c r="W65" s="70">
        <f t="shared" si="10"/>
        <v>0</v>
      </c>
      <c r="X65" s="345">
        <f t="shared" si="11"/>
        <v>0</v>
      </c>
      <c r="Y65" s="345">
        <f t="shared" si="12"/>
        <v>0</v>
      </c>
      <c r="Z65" s="85"/>
      <c r="AA65" s="85">
        <v>0.3</v>
      </c>
      <c r="AB65" s="85">
        <v>0</v>
      </c>
      <c r="AC65" s="86">
        <f t="shared" si="13"/>
        <v>0</v>
      </c>
      <c r="AD65" s="86">
        <f t="shared" si="14"/>
        <v>0</v>
      </c>
    </row>
    <row r="66" spans="1:30" ht="52.5" x14ac:dyDescent="0.25">
      <c r="A66" s="85" t="s">
        <v>254</v>
      </c>
      <c r="B66" s="85" t="s">
        <v>39</v>
      </c>
      <c r="C66" s="85" t="s">
        <v>31</v>
      </c>
      <c r="D66" s="111"/>
      <c r="E66" s="111"/>
      <c r="F66" s="85">
        <v>100</v>
      </c>
      <c r="G66" s="85">
        <v>73</v>
      </c>
      <c r="H66" s="85">
        <v>110</v>
      </c>
      <c r="I66" s="85">
        <v>73.3</v>
      </c>
      <c r="J66" s="85">
        <v>119</v>
      </c>
      <c r="K66" s="85"/>
      <c r="L66" s="85"/>
      <c r="M66" s="85"/>
      <c r="N66" s="85"/>
      <c r="O66" s="85">
        <f t="shared" si="2"/>
        <v>110</v>
      </c>
      <c r="P66" s="85">
        <f t="shared" si="3"/>
        <v>73.3</v>
      </c>
      <c r="Q66" s="85">
        <f t="shared" si="4"/>
        <v>119</v>
      </c>
      <c r="R66" s="50">
        <f t="shared" si="5"/>
        <v>0</v>
      </c>
      <c r="S66" s="70">
        <f t="shared" si="6"/>
        <v>0</v>
      </c>
      <c r="T66" s="70">
        <f t="shared" si="7"/>
        <v>0</v>
      </c>
      <c r="U66" s="70">
        <f t="shared" si="8"/>
        <v>0</v>
      </c>
      <c r="V66" s="70">
        <f t="shared" si="9"/>
        <v>0</v>
      </c>
      <c r="W66" s="70">
        <f t="shared" si="10"/>
        <v>0</v>
      </c>
      <c r="X66" s="345">
        <f t="shared" si="11"/>
        <v>0</v>
      </c>
      <c r="Y66" s="345">
        <f t="shared" si="12"/>
        <v>0</v>
      </c>
      <c r="Z66" s="85"/>
      <c r="AA66" s="85">
        <v>0.3</v>
      </c>
      <c r="AB66" s="85">
        <v>0</v>
      </c>
      <c r="AC66" s="86">
        <f t="shared" si="13"/>
        <v>0</v>
      </c>
      <c r="AD66" s="86">
        <f t="shared" si="14"/>
        <v>0</v>
      </c>
    </row>
    <row r="67" spans="1:30" ht="42" x14ac:dyDescent="0.25">
      <c r="A67" s="85" t="s">
        <v>254</v>
      </c>
      <c r="B67" s="85" t="s">
        <v>39</v>
      </c>
      <c r="C67" s="85" t="s">
        <v>33</v>
      </c>
      <c r="D67" s="111"/>
      <c r="E67" s="111"/>
      <c r="F67" s="85">
        <v>100</v>
      </c>
      <c r="G67" s="85">
        <v>55</v>
      </c>
      <c r="H67" s="85">
        <v>110</v>
      </c>
      <c r="I67" s="85">
        <v>73.3</v>
      </c>
      <c r="J67" s="85">
        <v>119</v>
      </c>
      <c r="K67" s="85"/>
      <c r="L67" s="85"/>
      <c r="M67" s="85"/>
      <c r="N67" s="85"/>
      <c r="O67" s="85">
        <f t="shared" si="2"/>
        <v>110</v>
      </c>
      <c r="P67" s="85">
        <f t="shared" si="3"/>
        <v>73.3</v>
      </c>
      <c r="Q67" s="85">
        <f t="shared" si="4"/>
        <v>119</v>
      </c>
      <c r="R67" s="50">
        <f t="shared" si="5"/>
        <v>0</v>
      </c>
      <c r="S67" s="70">
        <f t="shared" si="6"/>
        <v>0</v>
      </c>
      <c r="T67" s="70">
        <f t="shared" si="7"/>
        <v>0</v>
      </c>
      <c r="U67" s="70">
        <f t="shared" si="8"/>
        <v>0</v>
      </c>
      <c r="V67" s="70">
        <f t="shared" si="9"/>
        <v>0</v>
      </c>
      <c r="W67" s="70">
        <f t="shared" si="10"/>
        <v>0</v>
      </c>
      <c r="X67" s="345">
        <f t="shared" si="11"/>
        <v>0</v>
      </c>
      <c r="Y67" s="345">
        <f t="shared" si="12"/>
        <v>0</v>
      </c>
      <c r="Z67" s="85"/>
      <c r="AA67" s="85">
        <v>0.3</v>
      </c>
      <c r="AB67" s="85">
        <v>0</v>
      </c>
      <c r="AC67" s="86">
        <f t="shared" si="13"/>
        <v>0</v>
      </c>
      <c r="AD67" s="86">
        <f t="shared" si="14"/>
        <v>0</v>
      </c>
    </row>
    <row r="68" spans="1:30" ht="52.5" x14ac:dyDescent="0.25">
      <c r="A68" s="85" t="s">
        <v>254</v>
      </c>
      <c r="B68" s="85" t="s">
        <v>39</v>
      </c>
      <c r="C68" s="85" t="s">
        <v>35</v>
      </c>
      <c r="D68" s="111"/>
      <c r="E68" s="111"/>
      <c r="F68" s="85">
        <v>100</v>
      </c>
      <c r="G68" s="85">
        <v>37</v>
      </c>
      <c r="H68" s="85">
        <v>110</v>
      </c>
      <c r="I68" s="85">
        <v>73.3</v>
      </c>
      <c r="J68" s="85">
        <v>119</v>
      </c>
      <c r="K68" s="85"/>
      <c r="L68" s="85"/>
      <c r="M68" s="85"/>
      <c r="N68" s="85"/>
      <c r="O68" s="85">
        <f t="shared" si="2"/>
        <v>110</v>
      </c>
      <c r="P68" s="85">
        <f t="shared" si="3"/>
        <v>73.3</v>
      </c>
      <c r="Q68" s="85">
        <f t="shared" si="4"/>
        <v>119</v>
      </c>
      <c r="R68" s="50">
        <f t="shared" si="5"/>
        <v>0</v>
      </c>
      <c r="S68" s="70">
        <f t="shared" si="6"/>
        <v>0</v>
      </c>
      <c r="T68" s="70">
        <f t="shared" si="7"/>
        <v>0</v>
      </c>
      <c r="U68" s="70">
        <f t="shared" si="8"/>
        <v>0</v>
      </c>
      <c r="V68" s="70">
        <f t="shared" si="9"/>
        <v>0</v>
      </c>
      <c r="W68" s="70">
        <f t="shared" si="10"/>
        <v>0</v>
      </c>
      <c r="X68" s="345">
        <f t="shared" si="11"/>
        <v>0</v>
      </c>
      <c r="Y68" s="345">
        <f t="shared" si="12"/>
        <v>0</v>
      </c>
      <c r="Z68" s="85"/>
      <c r="AA68" s="85">
        <v>0.3</v>
      </c>
      <c r="AB68" s="85">
        <v>0</v>
      </c>
      <c r="AC68" s="86">
        <f t="shared" si="13"/>
        <v>0</v>
      </c>
      <c r="AD68" s="86">
        <f t="shared" si="14"/>
        <v>0</v>
      </c>
    </row>
    <row r="69" spans="1:30" ht="52.5" x14ac:dyDescent="0.25">
      <c r="A69" s="85" t="s">
        <v>254</v>
      </c>
      <c r="B69" s="85" t="s">
        <v>39</v>
      </c>
      <c r="C69" s="85" t="s">
        <v>29</v>
      </c>
      <c r="D69" s="111"/>
      <c r="E69" s="111"/>
      <c r="F69" s="85">
        <v>100</v>
      </c>
      <c r="G69" s="85">
        <v>44</v>
      </c>
      <c r="H69" s="85">
        <v>110</v>
      </c>
      <c r="I69" s="85">
        <v>73.3</v>
      </c>
      <c r="J69" s="85">
        <v>119</v>
      </c>
      <c r="K69" s="85"/>
      <c r="L69" s="85"/>
      <c r="M69" s="85"/>
      <c r="N69" s="85"/>
      <c r="O69" s="85">
        <f t="shared" si="2"/>
        <v>110</v>
      </c>
      <c r="P69" s="85">
        <f t="shared" si="3"/>
        <v>73.3</v>
      </c>
      <c r="Q69" s="85">
        <f t="shared" si="4"/>
        <v>119</v>
      </c>
      <c r="R69" s="50">
        <f t="shared" si="5"/>
        <v>0</v>
      </c>
      <c r="S69" s="70">
        <f t="shared" si="6"/>
        <v>0</v>
      </c>
      <c r="T69" s="70">
        <f t="shared" si="7"/>
        <v>0</v>
      </c>
      <c r="U69" s="70">
        <f t="shared" si="8"/>
        <v>0</v>
      </c>
      <c r="V69" s="70">
        <f t="shared" si="9"/>
        <v>0</v>
      </c>
      <c r="W69" s="70">
        <f t="shared" si="10"/>
        <v>0</v>
      </c>
      <c r="X69" s="345">
        <f t="shared" si="11"/>
        <v>0</v>
      </c>
      <c r="Y69" s="345">
        <f t="shared" si="12"/>
        <v>0</v>
      </c>
      <c r="Z69" s="85"/>
      <c r="AA69" s="85">
        <v>0.3</v>
      </c>
      <c r="AB69" s="85">
        <v>0</v>
      </c>
      <c r="AC69" s="86">
        <f t="shared" si="13"/>
        <v>0</v>
      </c>
      <c r="AD69" s="86">
        <f t="shared" si="14"/>
        <v>0</v>
      </c>
    </row>
    <row r="70" spans="1:30" ht="42" x14ac:dyDescent="0.25">
      <c r="A70" s="85" t="s">
        <v>254</v>
      </c>
      <c r="B70" s="85" t="s">
        <v>39</v>
      </c>
      <c r="C70" s="85" t="s">
        <v>28</v>
      </c>
      <c r="D70" s="111"/>
      <c r="E70" s="111"/>
      <c r="F70" s="85">
        <v>100</v>
      </c>
      <c r="G70" s="85">
        <v>73</v>
      </c>
      <c r="H70" s="85">
        <v>110</v>
      </c>
      <c r="I70" s="85">
        <v>73.3</v>
      </c>
      <c r="J70" s="85">
        <v>119</v>
      </c>
      <c r="K70" s="85"/>
      <c r="L70" s="85"/>
      <c r="M70" s="85"/>
      <c r="N70" s="85"/>
      <c r="O70" s="85">
        <f t="shared" si="2"/>
        <v>110</v>
      </c>
      <c r="P70" s="85">
        <f t="shared" si="3"/>
        <v>73.3</v>
      </c>
      <c r="Q70" s="85">
        <f t="shared" si="4"/>
        <v>119</v>
      </c>
      <c r="R70" s="50">
        <f t="shared" si="5"/>
        <v>0</v>
      </c>
      <c r="S70" s="70">
        <f t="shared" si="6"/>
        <v>0</v>
      </c>
      <c r="T70" s="70">
        <f t="shared" si="7"/>
        <v>0</v>
      </c>
      <c r="U70" s="70">
        <f t="shared" si="8"/>
        <v>0</v>
      </c>
      <c r="V70" s="70">
        <f t="shared" si="9"/>
        <v>0</v>
      </c>
      <c r="W70" s="70">
        <f t="shared" si="10"/>
        <v>0</v>
      </c>
      <c r="X70" s="345">
        <f t="shared" si="11"/>
        <v>0</v>
      </c>
      <c r="Y70" s="345">
        <f t="shared" si="12"/>
        <v>0</v>
      </c>
      <c r="Z70" s="85"/>
      <c r="AA70" s="85">
        <v>0.3</v>
      </c>
      <c r="AB70" s="85">
        <v>0</v>
      </c>
      <c r="AC70" s="86">
        <f t="shared" si="13"/>
        <v>0</v>
      </c>
      <c r="AD70" s="86">
        <f t="shared" si="14"/>
        <v>0</v>
      </c>
    </row>
    <row r="71" spans="1:30" ht="42" x14ac:dyDescent="0.25">
      <c r="A71" s="85" t="s">
        <v>254</v>
      </c>
      <c r="B71" s="85" t="s">
        <v>39</v>
      </c>
      <c r="C71" s="85" t="s">
        <v>30</v>
      </c>
      <c r="D71" s="111"/>
      <c r="E71" s="111"/>
      <c r="F71" s="85">
        <v>100</v>
      </c>
      <c r="G71" s="85">
        <v>37</v>
      </c>
      <c r="H71" s="85">
        <v>110</v>
      </c>
      <c r="I71" s="85">
        <v>73.3</v>
      </c>
      <c r="J71" s="85">
        <v>119</v>
      </c>
      <c r="K71" s="85"/>
      <c r="L71" s="85"/>
      <c r="M71" s="85"/>
      <c r="N71" s="85"/>
      <c r="O71" s="85">
        <f t="shared" si="2"/>
        <v>110</v>
      </c>
      <c r="P71" s="85">
        <f t="shared" si="3"/>
        <v>73.3</v>
      </c>
      <c r="Q71" s="85">
        <f t="shared" si="4"/>
        <v>119</v>
      </c>
      <c r="R71" s="50">
        <f t="shared" si="5"/>
        <v>0</v>
      </c>
      <c r="S71" s="70">
        <f t="shared" si="6"/>
        <v>0</v>
      </c>
      <c r="T71" s="70">
        <f t="shared" si="7"/>
        <v>0</v>
      </c>
      <c r="U71" s="70">
        <f t="shared" si="8"/>
        <v>0</v>
      </c>
      <c r="V71" s="70">
        <f t="shared" si="9"/>
        <v>0</v>
      </c>
      <c r="W71" s="70">
        <f t="shared" si="10"/>
        <v>0</v>
      </c>
      <c r="X71" s="345">
        <f t="shared" si="11"/>
        <v>0</v>
      </c>
      <c r="Y71" s="345">
        <f t="shared" si="12"/>
        <v>0</v>
      </c>
      <c r="Z71" s="85"/>
      <c r="AA71" s="85">
        <v>0.3</v>
      </c>
      <c r="AB71" s="85">
        <v>0</v>
      </c>
      <c r="AC71" s="86">
        <f t="shared" si="13"/>
        <v>0</v>
      </c>
      <c r="AD71" s="86">
        <f t="shared" si="14"/>
        <v>0</v>
      </c>
    </row>
    <row r="72" spans="1:30" ht="31.5" x14ac:dyDescent="0.25">
      <c r="A72" s="85" t="s">
        <v>254</v>
      </c>
      <c r="B72" s="85" t="s">
        <v>39</v>
      </c>
      <c r="C72" s="85" t="s">
        <v>37</v>
      </c>
      <c r="D72" s="111"/>
      <c r="E72" s="111"/>
      <c r="F72" s="85">
        <v>100</v>
      </c>
      <c r="G72" s="85">
        <v>0.4</v>
      </c>
      <c r="H72" s="85">
        <v>1.2</v>
      </c>
      <c r="I72" s="85">
        <v>0.8</v>
      </c>
      <c r="J72" s="85">
        <v>1.5</v>
      </c>
      <c r="K72" s="85">
        <v>31.2</v>
      </c>
      <c r="L72" s="85">
        <v>108.8</v>
      </c>
      <c r="M72" s="85">
        <v>72.5</v>
      </c>
      <c r="N72" s="85">
        <v>117.5</v>
      </c>
      <c r="O72" s="85">
        <f t="shared" si="2"/>
        <v>110</v>
      </c>
      <c r="P72" s="85">
        <f t="shared" si="3"/>
        <v>73.3</v>
      </c>
      <c r="Q72" s="85">
        <f t="shared" si="4"/>
        <v>119</v>
      </c>
      <c r="R72" s="50">
        <f t="shared" si="5"/>
        <v>0</v>
      </c>
      <c r="S72" s="70">
        <f t="shared" si="6"/>
        <v>0</v>
      </c>
      <c r="T72" s="70">
        <f t="shared" si="7"/>
        <v>0</v>
      </c>
      <c r="U72" s="70">
        <f t="shared" si="8"/>
        <v>0</v>
      </c>
      <c r="V72" s="70">
        <f t="shared" si="9"/>
        <v>0</v>
      </c>
      <c r="W72" s="70">
        <f t="shared" si="10"/>
        <v>0</v>
      </c>
      <c r="X72" s="345">
        <f t="shared" si="11"/>
        <v>0</v>
      </c>
      <c r="Y72" s="345">
        <f t="shared" si="12"/>
        <v>0</v>
      </c>
      <c r="Z72" s="85"/>
      <c r="AA72" s="85">
        <v>0.3</v>
      </c>
      <c r="AB72" s="85">
        <v>0</v>
      </c>
      <c r="AC72" s="86">
        <f t="shared" si="13"/>
        <v>0</v>
      </c>
      <c r="AD72" s="86">
        <f t="shared" si="14"/>
        <v>0</v>
      </c>
    </row>
    <row r="73" spans="1:30" ht="31.5" x14ac:dyDescent="0.25">
      <c r="A73" s="85" t="s">
        <v>254</v>
      </c>
      <c r="B73" s="85" t="s">
        <v>39</v>
      </c>
      <c r="C73" s="85" t="s">
        <v>123</v>
      </c>
      <c r="D73" s="111"/>
      <c r="E73" s="111"/>
      <c r="F73" s="85">
        <v>100</v>
      </c>
      <c r="G73" s="85"/>
      <c r="H73" s="85"/>
      <c r="I73" s="85"/>
      <c r="J73" s="85"/>
      <c r="K73" s="85">
        <v>31.6</v>
      </c>
      <c r="L73" s="85">
        <v>110</v>
      </c>
      <c r="M73" s="85">
        <v>73.3</v>
      </c>
      <c r="N73" s="85">
        <v>119</v>
      </c>
      <c r="O73" s="85">
        <f t="shared" si="2"/>
        <v>110</v>
      </c>
      <c r="P73" s="85">
        <f t="shared" ref="P73:P115" si="26">I73+M73</f>
        <v>73.3</v>
      </c>
      <c r="Q73" s="85">
        <f t="shared" ref="Q73:Q115" si="27">J73+N73</f>
        <v>119</v>
      </c>
      <c r="R73" s="50">
        <f t="shared" si="5"/>
        <v>0</v>
      </c>
      <c r="S73" s="70">
        <f t="shared" si="6"/>
        <v>0</v>
      </c>
      <c r="T73" s="70">
        <f t="shared" si="7"/>
        <v>0</v>
      </c>
      <c r="U73" s="70">
        <f t="shared" si="8"/>
        <v>0</v>
      </c>
      <c r="V73" s="70">
        <f t="shared" si="9"/>
        <v>0</v>
      </c>
      <c r="W73" s="70">
        <f t="shared" si="10"/>
        <v>0</v>
      </c>
      <c r="X73" s="345">
        <f t="shared" si="11"/>
        <v>0</v>
      </c>
      <c r="Y73" s="345">
        <f t="shared" si="12"/>
        <v>0</v>
      </c>
      <c r="Z73" s="85"/>
      <c r="AA73" s="85">
        <v>0.3</v>
      </c>
      <c r="AB73" s="85">
        <v>0</v>
      </c>
      <c r="AC73" s="86">
        <f t="shared" si="13"/>
        <v>0</v>
      </c>
      <c r="AD73" s="86">
        <f t="shared" si="14"/>
        <v>0</v>
      </c>
    </row>
    <row r="74" spans="1:30" ht="31.5" x14ac:dyDescent="0.25">
      <c r="A74" s="85" t="s">
        <v>254</v>
      </c>
      <c r="B74" s="85" t="s">
        <v>39</v>
      </c>
      <c r="C74" s="85" t="s">
        <v>36</v>
      </c>
      <c r="D74" s="111"/>
      <c r="E74" s="111"/>
      <c r="F74" s="85">
        <v>100</v>
      </c>
      <c r="G74" s="85">
        <v>6</v>
      </c>
      <c r="H74" s="85">
        <v>17.8</v>
      </c>
      <c r="I74" s="85">
        <v>11.9</v>
      </c>
      <c r="J74" s="85">
        <v>22.9</v>
      </c>
      <c r="K74" s="85">
        <v>25.2</v>
      </c>
      <c r="L74" s="85">
        <v>92.2</v>
      </c>
      <c r="M74" s="85">
        <v>61.5</v>
      </c>
      <c r="N74" s="85">
        <v>96.1</v>
      </c>
      <c r="O74" s="85">
        <f t="shared" si="2"/>
        <v>110</v>
      </c>
      <c r="P74" s="85">
        <f t="shared" si="26"/>
        <v>73.400000000000006</v>
      </c>
      <c r="Q74" s="85">
        <f t="shared" si="27"/>
        <v>119</v>
      </c>
      <c r="R74" s="50">
        <f t="shared" si="5"/>
        <v>0</v>
      </c>
      <c r="S74" s="70">
        <f t="shared" si="6"/>
        <v>0</v>
      </c>
      <c r="T74" s="70">
        <f t="shared" si="7"/>
        <v>0</v>
      </c>
      <c r="U74" s="70">
        <f t="shared" si="8"/>
        <v>0</v>
      </c>
      <c r="V74" s="70">
        <f t="shared" si="9"/>
        <v>0</v>
      </c>
      <c r="W74" s="70">
        <f t="shared" si="10"/>
        <v>0</v>
      </c>
      <c r="X74" s="345">
        <f t="shared" si="11"/>
        <v>0</v>
      </c>
      <c r="Y74" s="345">
        <f t="shared" si="12"/>
        <v>0</v>
      </c>
      <c r="Z74" s="85"/>
      <c r="AA74" s="85">
        <v>0.3</v>
      </c>
      <c r="AB74" s="85">
        <v>0</v>
      </c>
      <c r="AC74" s="86">
        <f t="shared" si="13"/>
        <v>0</v>
      </c>
      <c r="AD74" s="86">
        <f t="shared" si="14"/>
        <v>0</v>
      </c>
    </row>
    <row r="75" spans="1:30" ht="52.5" x14ac:dyDescent="0.25">
      <c r="A75" s="85" t="s">
        <v>254</v>
      </c>
      <c r="B75" s="85" t="s">
        <v>40</v>
      </c>
      <c r="C75" s="85" t="s">
        <v>34</v>
      </c>
      <c r="D75" s="111"/>
      <c r="E75" s="111"/>
      <c r="F75" s="85">
        <v>120</v>
      </c>
      <c r="G75" s="85">
        <v>44</v>
      </c>
      <c r="H75" s="85">
        <v>110</v>
      </c>
      <c r="I75" s="85">
        <v>73.3</v>
      </c>
      <c r="J75" s="85">
        <v>119</v>
      </c>
      <c r="K75" s="85"/>
      <c r="L75" s="85"/>
      <c r="M75" s="85"/>
      <c r="N75" s="85"/>
      <c r="O75" s="85">
        <f t="shared" si="2"/>
        <v>110</v>
      </c>
      <c r="P75" s="85">
        <f t="shared" si="26"/>
        <v>73.3</v>
      </c>
      <c r="Q75" s="85">
        <f t="shared" si="27"/>
        <v>119</v>
      </c>
      <c r="R75" s="50">
        <f t="shared" si="5"/>
        <v>0</v>
      </c>
      <c r="S75" s="70">
        <f t="shared" si="6"/>
        <v>0</v>
      </c>
      <c r="T75" s="70">
        <f t="shared" si="7"/>
        <v>0</v>
      </c>
      <c r="U75" s="70">
        <f t="shared" si="8"/>
        <v>0</v>
      </c>
      <c r="V75" s="70">
        <f t="shared" si="9"/>
        <v>0</v>
      </c>
      <c r="W75" s="70">
        <f t="shared" si="10"/>
        <v>0</v>
      </c>
      <c r="X75" s="345">
        <f t="shared" si="11"/>
        <v>0</v>
      </c>
      <c r="Y75" s="345">
        <f t="shared" si="12"/>
        <v>0</v>
      </c>
      <c r="Z75" s="85"/>
      <c r="AA75" s="85">
        <v>0.3</v>
      </c>
      <c r="AB75" s="85">
        <v>0</v>
      </c>
      <c r="AC75" s="86">
        <f t="shared" si="13"/>
        <v>0</v>
      </c>
      <c r="AD75" s="86">
        <f t="shared" si="14"/>
        <v>0</v>
      </c>
    </row>
    <row r="76" spans="1:30" ht="52.5" x14ac:dyDescent="0.25">
      <c r="A76" s="85" t="s">
        <v>254</v>
      </c>
      <c r="B76" s="85" t="s">
        <v>40</v>
      </c>
      <c r="C76" s="85" t="s">
        <v>32</v>
      </c>
      <c r="D76" s="111"/>
      <c r="E76" s="111"/>
      <c r="F76" s="85">
        <v>120</v>
      </c>
      <c r="G76" s="85">
        <v>55</v>
      </c>
      <c r="H76" s="85">
        <v>110</v>
      </c>
      <c r="I76" s="85">
        <v>73.3</v>
      </c>
      <c r="J76" s="85">
        <v>119</v>
      </c>
      <c r="K76" s="85"/>
      <c r="L76" s="85"/>
      <c r="M76" s="85"/>
      <c r="N76" s="85"/>
      <c r="O76" s="85">
        <f t="shared" si="2"/>
        <v>110</v>
      </c>
      <c r="P76" s="85">
        <f t="shared" si="26"/>
        <v>73.3</v>
      </c>
      <c r="Q76" s="85">
        <f t="shared" si="27"/>
        <v>119</v>
      </c>
      <c r="R76" s="50">
        <f t="shared" si="5"/>
        <v>0</v>
      </c>
      <c r="S76" s="70">
        <f t="shared" si="6"/>
        <v>0</v>
      </c>
      <c r="T76" s="70">
        <f t="shared" si="7"/>
        <v>0</v>
      </c>
      <c r="U76" s="70">
        <f t="shared" si="8"/>
        <v>0</v>
      </c>
      <c r="V76" s="70">
        <f t="shared" si="9"/>
        <v>0</v>
      </c>
      <c r="W76" s="70">
        <f t="shared" si="10"/>
        <v>0</v>
      </c>
      <c r="X76" s="345">
        <f t="shared" si="11"/>
        <v>0</v>
      </c>
      <c r="Y76" s="345">
        <f t="shared" si="12"/>
        <v>0</v>
      </c>
      <c r="Z76" s="85"/>
      <c r="AA76" s="85">
        <v>0.3</v>
      </c>
      <c r="AB76" s="85">
        <v>0</v>
      </c>
      <c r="AC76" s="86">
        <f t="shared" si="13"/>
        <v>0</v>
      </c>
      <c r="AD76" s="86">
        <f t="shared" si="14"/>
        <v>0</v>
      </c>
    </row>
    <row r="77" spans="1:30" ht="52.5" x14ac:dyDescent="0.25">
      <c r="A77" s="85" t="s">
        <v>254</v>
      </c>
      <c r="B77" s="85" t="s">
        <v>40</v>
      </c>
      <c r="C77" s="85" t="s">
        <v>31</v>
      </c>
      <c r="D77" s="111"/>
      <c r="E77" s="111"/>
      <c r="F77" s="85">
        <v>120</v>
      </c>
      <c r="G77" s="85">
        <v>73</v>
      </c>
      <c r="H77" s="85">
        <v>110</v>
      </c>
      <c r="I77" s="85">
        <v>73.3</v>
      </c>
      <c r="J77" s="85">
        <v>119</v>
      </c>
      <c r="K77" s="85"/>
      <c r="L77" s="85"/>
      <c r="M77" s="85"/>
      <c r="N77" s="85"/>
      <c r="O77" s="85">
        <f t="shared" si="2"/>
        <v>110</v>
      </c>
      <c r="P77" s="85">
        <f t="shared" si="26"/>
        <v>73.3</v>
      </c>
      <c r="Q77" s="85">
        <f t="shared" si="27"/>
        <v>119</v>
      </c>
      <c r="R77" s="50">
        <f t="shared" si="5"/>
        <v>0</v>
      </c>
      <c r="S77" s="70">
        <f t="shared" si="6"/>
        <v>0</v>
      </c>
      <c r="T77" s="70">
        <f t="shared" si="7"/>
        <v>0</v>
      </c>
      <c r="U77" s="70">
        <f t="shared" si="8"/>
        <v>0</v>
      </c>
      <c r="V77" s="70">
        <f t="shared" si="9"/>
        <v>0</v>
      </c>
      <c r="W77" s="70">
        <f t="shared" si="10"/>
        <v>0</v>
      </c>
      <c r="X77" s="345">
        <f t="shared" si="11"/>
        <v>0</v>
      </c>
      <c r="Y77" s="345">
        <f t="shared" si="12"/>
        <v>0</v>
      </c>
      <c r="Z77" s="85"/>
      <c r="AA77" s="85">
        <v>0.3</v>
      </c>
      <c r="AB77" s="85">
        <v>0</v>
      </c>
      <c r="AC77" s="86">
        <f t="shared" si="13"/>
        <v>0</v>
      </c>
      <c r="AD77" s="86">
        <f t="shared" si="14"/>
        <v>0</v>
      </c>
    </row>
    <row r="78" spans="1:30" ht="42" x14ac:dyDescent="0.25">
      <c r="A78" s="85" t="s">
        <v>254</v>
      </c>
      <c r="B78" s="85" t="s">
        <v>40</v>
      </c>
      <c r="C78" s="85" t="s">
        <v>33</v>
      </c>
      <c r="D78" s="111"/>
      <c r="E78" s="111"/>
      <c r="F78" s="85">
        <v>120</v>
      </c>
      <c r="G78" s="85">
        <v>55</v>
      </c>
      <c r="H78" s="85">
        <v>110</v>
      </c>
      <c r="I78" s="85">
        <v>73.3</v>
      </c>
      <c r="J78" s="85">
        <v>119</v>
      </c>
      <c r="K78" s="85"/>
      <c r="L78" s="85"/>
      <c r="M78" s="85"/>
      <c r="N78" s="85"/>
      <c r="O78" s="85">
        <f t="shared" si="2"/>
        <v>110</v>
      </c>
      <c r="P78" s="85">
        <f t="shared" si="26"/>
        <v>73.3</v>
      </c>
      <c r="Q78" s="85">
        <f t="shared" si="27"/>
        <v>119</v>
      </c>
      <c r="R78" s="50">
        <f t="shared" si="5"/>
        <v>0</v>
      </c>
      <c r="S78" s="70">
        <f t="shared" si="6"/>
        <v>0</v>
      </c>
      <c r="T78" s="70">
        <f t="shared" si="7"/>
        <v>0</v>
      </c>
      <c r="U78" s="70">
        <f t="shared" si="8"/>
        <v>0</v>
      </c>
      <c r="V78" s="70">
        <f t="shared" si="9"/>
        <v>0</v>
      </c>
      <c r="W78" s="70">
        <f t="shared" si="10"/>
        <v>0</v>
      </c>
      <c r="X78" s="345">
        <f t="shared" si="11"/>
        <v>0</v>
      </c>
      <c r="Y78" s="345">
        <f t="shared" si="12"/>
        <v>0</v>
      </c>
      <c r="Z78" s="85"/>
      <c r="AA78" s="85">
        <v>0.3</v>
      </c>
      <c r="AB78" s="85">
        <v>0</v>
      </c>
      <c r="AC78" s="86">
        <f t="shared" si="13"/>
        <v>0</v>
      </c>
      <c r="AD78" s="86">
        <f t="shared" si="14"/>
        <v>0</v>
      </c>
    </row>
    <row r="79" spans="1:30" ht="52.5" x14ac:dyDescent="0.25">
      <c r="A79" s="85" t="s">
        <v>254</v>
      </c>
      <c r="B79" s="85" t="s">
        <v>40</v>
      </c>
      <c r="C79" s="85" t="s">
        <v>35</v>
      </c>
      <c r="D79" s="111"/>
      <c r="E79" s="111"/>
      <c r="F79" s="85">
        <v>120</v>
      </c>
      <c r="G79" s="85">
        <v>37</v>
      </c>
      <c r="H79" s="85">
        <v>110</v>
      </c>
      <c r="I79" s="85">
        <v>73.3</v>
      </c>
      <c r="J79" s="85">
        <v>119</v>
      </c>
      <c r="K79" s="85"/>
      <c r="L79" s="85"/>
      <c r="M79" s="85"/>
      <c r="N79" s="85"/>
      <c r="O79" s="85">
        <f t="shared" si="2"/>
        <v>110</v>
      </c>
      <c r="P79" s="85">
        <f t="shared" si="26"/>
        <v>73.3</v>
      </c>
      <c r="Q79" s="85">
        <f t="shared" si="27"/>
        <v>119</v>
      </c>
      <c r="R79" s="50">
        <f t="shared" si="5"/>
        <v>0</v>
      </c>
      <c r="S79" s="70">
        <f t="shared" si="6"/>
        <v>0</v>
      </c>
      <c r="T79" s="70">
        <f t="shared" si="7"/>
        <v>0</v>
      </c>
      <c r="U79" s="70">
        <f t="shared" si="8"/>
        <v>0</v>
      </c>
      <c r="V79" s="70">
        <f t="shared" si="9"/>
        <v>0</v>
      </c>
      <c r="W79" s="70">
        <f t="shared" si="10"/>
        <v>0</v>
      </c>
      <c r="X79" s="345">
        <f t="shared" si="11"/>
        <v>0</v>
      </c>
      <c r="Y79" s="345">
        <f t="shared" si="12"/>
        <v>0</v>
      </c>
      <c r="Z79" s="85"/>
      <c r="AA79" s="85">
        <v>0.3</v>
      </c>
      <c r="AB79" s="85">
        <v>0</v>
      </c>
      <c r="AC79" s="86">
        <f t="shared" si="13"/>
        <v>0</v>
      </c>
      <c r="AD79" s="86">
        <f t="shared" si="14"/>
        <v>0</v>
      </c>
    </row>
    <row r="80" spans="1:30" ht="52.5" x14ac:dyDescent="0.25">
      <c r="A80" s="85" t="s">
        <v>254</v>
      </c>
      <c r="B80" s="85" t="s">
        <v>40</v>
      </c>
      <c r="C80" s="85" t="s">
        <v>29</v>
      </c>
      <c r="D80" s="111"/>
      <c r="E80" s="111"/>
      <c r="F80" s="85">
        <v>120</v>
      </c>
      <c r="G80" s="85">
        <v>44</v>
      </c>
      <c r="H80" s="85">
        <v>110</v>
      </c>
      <c r="I80" s="85">
        <v>73.3</v>
      </c>
      <c r="J80" s="85">
        <v>119</v>
      </c>
      <c r="K80" s="85"/>
      <c r="L80" s="85"/>
      <c r="M80" s="85"/>
      <c r="N80" s="85"/>
      <c r="O80" s="85">
        <f t="shared" si="2"/>
        <v>110</v>
      </c>
      <c r="P80" s="85">
        <f t="shared" si="26"/>
        <v>73.3</v>
      </c>
      <c r="Q80" s="85">
        <f t="shared" si="27"/>
        <v>119</v>
      </c>
      <c r="R80" s="50">
        <f t="shared" si="5"/>
        <v>0</v>
      </c>
      <c r="S80" s="70">
        <f t="shared" si="6"/>
        <v>0</v>
      </c>
      <c r="T80" s="70">
        <f t="shared" si="7"/>
        <v>0</v>
      </c>
      <c r="U80" s="70">
        <f t="shared" si="8"/>
        <v>0</v>
      </c>
      <c r="V80" s="70">
        <f t="shared" si="9"/>
        <v>0</v>
      </c>
      <c r="W80" s="70">
        <f t="shared" si="10"/>
        <v>0</v>
      </c>
      <c r="X80" s="345">
        <f t="shared" si="11"/>
        <v>0</v>
      </c>
      <c r="Y80" s="345">
        <f t="shared" si="12"/>
        <v>0</v>
      </c>
      <c r="Z80" s="85"/>
      <c r="AA80" s="85">
        <v>0.3</v>
      </c>
      <c r="AB80" s="85">
        <v>0</v>
      </c>
      <c r="AC80" s="86">
        <f t="shared" si="13"/>
        <v>0</v>
      </c>
      <c r="AD80" s="86">
        <f t="shared" si="14"/>
        <v>0</v>
      </c>
    </row>
    <row r="81" spans="1:30" ht="42" x14ac:dyDescent="0.25">
      <c r="A81" s="85" t="s">
        <v>254</v>
      </c>
      <c r="B81" s="85" t="s">
        <v>40</v>
      </c>
      <c r="C81" s="85" t="s">
        <v>28</v>
      </c>
      <c r="D81" s="111"/>
      <c r="E81" s="111"/>
      <c r="F81" s="85">
        <v>120</v>
      </c>
      <c r="G81" s="85">
        <v>73</v>
      </c>
      <c r="H81" s="85">
        <v>110</v>
      </c>
      <c r="I81" s="85">
        <v>73.3</v>
      </c>
      <c r="J81" s="85">
        <v>119</v>
      </c>
      <c r="K81" s="85"/>
      <c r="L81" s="85"/>
      <c r="M81" s="85"/>
      <c r="N81" s="85"/>
      <c r="O81" s="85">
        <f t="shared" si="2"/>
        <v>110</v>
      </c>
      <c r="P81" s="85">
        <f t="shared" si="26"/>
        <v>73.3</v>
      </c>
      <c r="Q81" s="85">
        <f t="shared" si="27"/>
        <v>119</v>
      </c>
      <c r="R81" s="50">
        <f t="shared" si="5"/>
        <v>0</v>
      </c>
      <c r="S81" s="70">
        <f t="shared" si="6"/>
        <v>0</v>
      </c>
      <c r="T81" s="70">
        <f t="shared" si="7"/>
        <v>0</v>
      </c>
      <c r="U81" s="70">
        <f t="shared" si="8"/>
        <v>0</v>
      </c>
      <c r="V81" s="70">
        <f t="shared" si="9"/>
        <v>0</v>
      </c>
      <c r="W81" s="70">
        <f t="shared" si="10"/>
        <v>0</v>
      </c>
      <c r="X81" s="345">
        <f t="shared" si="11"/>
        <v>0</v>
      </c>
      <c r="Y81" s="345">
        <f t="shared" si="12"/>
        <v>0</v>
      </c>
      <c r="Z81" s="85"/>
      <c r="AA81" s="85">
        <v>0.3</v>
      </c>
      <c r="AB81" s="85">
        <v>0</v>
      </c>
      <c r="AC81" s="86">
        <f t="shared" si="13"/>
        <v>0</v>
      </c>
      <c r="AD81" s="86">
        <f t="shared" si="14"/>
        <v>0</v>
      </c>
    </row>
    <row r="82" spans="1:30" ht="42" x14ac:dyDescent="0.25">
      <c r="A82" s="85" t="s">
        <v>254</v>
      </c>
      <c r="B82" s="85" t="s">
        <v>40</v>
      </c>
      <c r="C82" s="85" t="s">
        <v>30</v>
      </c>
      <c r="D82" s="111"/>
      <c r="E82" s="111"/>
      <c r="F82" s="85">
        <v>120</v>
      </c>
      <c r="G82" s="85">
        <v>37</v>
      </c>
      <c r="H82" s="85">
        <v>110</v>
      </c>
      <c r="I82" s="85">
        <v>73.3</v>
      </c>
      <c r="J82" s="85">
        <v>119</v>
      </c>
      <c r="K82" s="85"/>
      <c r="L82" s="85"/>
      <c r="M82" s="85"/>
      <c r="N82" s="85"/>
      <c r="O82" s="85">
        <f t="shared" si="2"/>
        <v>110</v>
      </c>
      <c r="P82" s="85">
        <f t="shared" si="26"/>
        <v>73.3</v>
      </c>
      <c r="Q82" s="85">
        <f t="shared" si="27"/>
        <v>119</v>
      </c>
      <c r="R82" s="50">
        <f t="shared" si="5"/>
        <v>0</v>
      </c>
      <c r="S82" s="70">
        <f t="shared" si="6"/>
        <v>0</v>
      </c>
      <c r="T82" s="70">
        <f t="shared" si="7"/>
        <v>0</v>
      </c>
      <c r="U82" s="70">
        <f t="shared" si="8"/>
        <v>0</v>
      </c>
      <c r="V82" s="70">
        <f t="shared" si="9"/>
        <v>0</v>
      </c>
      <c r="W82" s="70">
        <f t="shared" si="10"/>
        <v>0</v>
      </c>
      <c r="X82" s="345">
        <f t="shared" si="11"/>
        <v>0</v>
      </c>
      <c r="Y82" s="345">
        <f t="shared" si="12"/>
        <v>0</v>
      </c>
      <c r="Z82" s="85"/>
      <c r="AA82" s="85">
        <v>0.3</v>
      </c>
      <c r="AB82" s="85">
        <v>0</v>
      </c>
      <c r="AC82" s="86">
        <f t="shared" si="13"/>
        <v>0</v>
      </c>
      <c r="AD82" s="86">
        <f t="shared" si="14"/>
        <v>0</v>
      </c>
    </row>
    <row r="83" spans="1:30" ht="31.5" x14ac:dyDescent="0.25">
      <c r="A83" s="85" t="s">
        <v>254</v>
      </c>
      <c r="B83" s="85" t="s">
        <v>40</v>
      </c>
      <c r="C83" s="85" t="s">
        <v>37</v>
      </c>
      <c r="D83" s="111"/>
      <c r="E83" s="111"/>
      <c r="F83" s="85">
        <v>120</v>
      </c>
      <c r="G83" s="85">
        <v>0.4</v>
      </c>
      <c r="H83" s="85">
        <v>1.2</v>
      </c>
      <c r="I83" s="85">
        <v>0.8</v>
      </c>
      <c r="J83" s="85">
        <v>1.5</v>
      </c>
      <c r="K83" s="85">
        <v>31.2</v>
      </c>
      <c r="L83" s="85">
        <v>108.8</v>
      </c>
      <c r="M83" s="85">
        <v>72.5</v>
      </c>
      <c r="N83" s="85">
        <v>117.5</v>
      </c>
      <c r="O83" s="85">
        <f t="shared" si="2"/>
        <v>110</v>
      </c>
      <c r="P83" s="85">
        <f t="shared" si="26"/>
        <v>73.3</v>
      </c>
      <c r="Q83" s="85">
        <f t="shared" si="27"/>
        <v>119</v>
      </c>
      <c r="R83" s="50">
        <f t="shared" si="5"/>
        <v>0</v>
      </c>
      <c r="S83" s="70">
        <f t="shared" si="6"/>
        <v>0</v>
      </c>
      <c r="T83" s="70">
        <f t="shared" si="7"/>
        <v>0</v>
      </c>
      <c r="U83" s="70">
        <f t="shared" si="8"/>
        <v>0</v>
      </c>
      <c r="V83" s="70">
        <f t="shared" si="9"/>
        <v>0</v>
      </c>
      <c r="W83" s="70">
        <f t="shared" si="10"/>
        <v>0</v>
      </c>
      <c r="X83" s="345">
        <f t="shared" si="11"/>
        <v>0</v>
      </c>
      <c r="Y83" s="345">
        <f t="shared" si="12"/>
        <v>0</v>
      </c>
      <c r="Z83" s="85"/>
      <c r="AA83" s="85">
        <v>0.3</v>
      </c>
      <c r="AB83" s="85">
        <v>0</v>
      </c>
      <c r="AC83" s="86">
        <f t="shared" ref="AC83:AC115" si="28">AA83*D83</f>
        <v>0</v>
      </c>
      <c r="AD83" s="86">
        <f t="shared" ref="AD83:AD115" si="29">AB83*D83</f>
        <v>0</v>
      </c>
    </row>
    <row r="84" spans="1:30" ht="31.5" x14ac:dyDescent="0.25">
      <c r="A84" s="85" t="s">
        <v>254</v>
      </c>
      <c r="B84" s="85" t="s">
        <v>40</v>
      </c>
      <c r="C84" s="85" t="s">
        <v>123</v>
      </c>
      <c r="D84" s="111"/>
      <c r="E84" s="111"/>
      <c r="F84" s="85">
        <v>120</v>
      </c>
      <c r="G84" s="85"/>
      <c r="H84" s="85"/>
      <c r="I84" s="85"/>
      <c r="J84" s="85"/>
      <c r="K84" s="85">
        <v>31.6</v>
      </c>
      <c r="L84" s="85">
        <v>110</v>
      </c>
      <c r="M84" s="85">
        <v>73.3</v>
      </c>
      <c r="N84" s="85">
        <v>119</v>
      </c>
      <c r="O84" s="85">
        <f t="shared" ref="O84:O115" si="30">L84+H84</f>
        <v>110</v>
      </c>
      <c r="P84" s="85">
        <f t="shared" si="26"/>
        <v>73.3</v>
      </c>
      <c r="Q84" s="85">
        <f t="shared" si="27"/>
        <v>119</v>
      </c>
      <c r="R84" s="50">
        <f t="shared" ref="R84:R115" si="31">IF(E84="SI", D84*F84/1000*K84, 0)</f>
        <v>0</v>
      </c>
      <c r="S84" s="70">
        <f t="shared" ref="S84:S115" si="32">(D84*F84/1000*G84)+R84</f>
        <v>0</v>
      </c>
      <c r="T84" s="70">
        <f t="shared" ref="T84:T115" si="33">(D84*F84/1000*K84)-R84</f>
        <v>0</v>
      </c>
      <c r="U84" s="70">
        <f t="shared" ref="U84:U115" si="34">IF(R84=0,H84*D84*F84/1000,((H84*D84*F84/1000)+(L84*D84*F84/1000)))</f>
        <v>0</v>
      </c>
      <c r="V84" s="70">
        <f t="shared" ref="V84:V115" si="35">IF(R84=0, L84*D84*F84/1000, 0)</f>
        <v>0</v>
      </c>
      <c r="W84" s="70">
        <f t="shared" ref="W84:W115" si="36">D84*F84/1000</f>
        <v>0</v>
      </c>
      <c r="X84" s="345">
        <f t="shared" ref="X84:X115" si="37">IF(R84=0,D84*F84/1000*I84+D84*F84/1000*M84,(I84*D84*F84/1000)+(M84*D84*F84/1000))</f>
        <v>0</v>
      </c>
      <c r="Y84" s="345">
        <f t="shared" ref="Y84:Y115" si="38">IF(R84=0,D84*F84/1000*J84+D84*F84/1000*N84,(J84*D84*F84/1000)+(N84*D84*F84/1000))</f>
        <v>0</v>
      </c>
      <c r="Z84" s="85"/>
      <c r="AA84" s="85">
        <v>0.3</v>
      </c>
      <c r="AB84" s="85">
        <v>0</v>
      </c>
      <c r="AC84" s="86">
        <f t="shared" si="28"/>
        <v>0</v>
      </c>
      <c r="AD84" s="86">
        <f t="shared" si="29"/>
        <v>0</v>
      </c>
    </row>
    <row r="85" spans="1:30" ht="31.5" x14ac:dyDescent="0.25">
      <c r="A85" s="85" t="s">
        <v>254</v>
      </c>
      <c r="B85" s="85" t="s">
        <v>40</v>
      </c>
      <c r="C85" s="85" t="s">
        <v>36</v>
      </c>
      <c r="D85" s="111"/>
      <c r="E85" s="111"/>
      <c r="F85" s="85">
        <v>120</v>
      </c>
      <c r="G85" s="85">
        <v>6</v>
      </c>
      <c r="H85" s="85">
        <v>17.8</v>
      </c>
      <c r="I85" s="85">
        <v>11.9</v>
      </c>
      <c r="J85" s="85">
        <v>22.9</v>
      </c>
      <c r="K85" s="85">
        <v>25.2</v>
      </c>
      <c r="L85" s="85">
        <v>92.2</v>
      </c>
      <c r="M85" s="85">
        <v>61.5</v>
      </c>
      <c r="N85" s="85">
        <v>96.1</v>
      </c>
      <c r="O85" s="85">
        <f t="shared" si="30"/>
        <v>110</v>
      </c>
      <c r="P85" s="85">
        <f t="shared" si="26"/>
        <v>73.400000000000006</v>
      </c>
      <c r="Q85" s="85">
        <f t="shared" si="27"/>
        <v>119</v>
      </c>
      <c r="R85" s="50">
        <f t="shared" si="31"/>
        <v>0</v>
      </c>
      <c r="S85" s="70">
        <f t="shared" si="32"/>
        <v>0</v>
      </c>
      <c r="T85" s="70">
        <f t="shared" si="33"/>
        <v>0</v>
      </c>
      <c r="U85" s="70">
        <f t="shared" si="34"/>
        <v>0</v>
      </c>
      <c r="V85" s="70">
        <f t="shared" si="35"/>
        <v>0</v>
      </c>
      <c r="W85" s="70">
        <f t="shared" si="36"/>
        <v>0</v>
      </c>
      <c r="X85" s="345">
        <f t="shared" si="37"/>
        <v>0</v>
      </c>
      <c r="Y85" s="345">
        <f t="shared" si="38"/>
        <v>0</v>
      </c>
      <c r="Z85" s="85"/>
      <c r="AA85" s="85">
        <v>0.3</v>
      </c>
      <c r="AB85" s="85">
        <v>0</v>
      </c>
      <c r="AC85" s="86">
        <f t="shared" si="28"/>
        <v>0</v>
      </c>
      <c r="AD85" s="86">
        <f t="shared" si="29"/>
        <v>0</v>
      </c>
    </row>
    <row r="86" spans="1:30" ht="52.5" x14ac:dyDescent="0.25">
      <c r="A86" s="85" t="s">
        <v>254</v>
      </c>
      <c r="B86" s="85" t="s">
        <v>415</v>
      </c>
      <c r="C86" s="85" t="s">
        <v>34</v>
      </c>
      <c r="D86" s="111"/>
      <c r="E86" s="111"/>
      <c r="F86" s="85">
        <v>90</v>
      </c>
      <c r="G86" s="85">
        <v>44</v>
      </c>
      <c r="H86" s="85">
        <v>110</v>
      </c>
      <c r="I86" s="85">
        <v>104</v>
      </c>
      <c r="J86" s="85">
        <v>119</v>
      </c>
      <c r="K86" s="85"/>
      <c r="L86" s="85"/>
      <c r="M86" s="85"/>
      <c r="N86" s="85"/>
      <c r="O86" s="85">
        <f t="shared" si="30"/>
        <v>110</v>
      </c>
      <c r="P86" s="85">
        <f t="shared" si="26"/>
        <v>104</v>
      </c>
      <c r="Q86" s="85">
        <f t="shared" si="27"/>
        <v>119</v>
      </c>
      <c r="R86" s="50">
        <f t="shared" si="31"/>
        <v>0</v>
      </c>
      <c r="S86" s="70">
        <f t="shared" si="32"/>
        <v>0</v>
      </c>
      <c r="T86" s="70">
        <f t="shared" si="33"/>
        <v>0</v>
      </c>
      <c r="U86" s="70">
        <f t="shared" si="34"/>
        <v>0</v>
      </c>
      <c r="V86" s="70">
        <f t="shared" si="35"/>
        <v>0</v>
      </c>
      <c r="W86" s="70">
        <f t="shared" si="36"/>
        <v>0</v>
      </c>
      <c r="X86" s="345">
        <f t="shared" si="37"/>
        <v>0</v>
      </c>
      <c r="Y86" s="345">
        <f t="shared" si="38"/>
        <v>0</v>
      </c>
      <c r="Z86" s="85"/>
      <c r="AA86" s="85">
        <v>0.3</v>
      </c>
      <c r="AB86" s="85">
        <v>0</v>
      </c>
      <c r="AC86" s="86">
        <f t="shared" si="28"/>
        <v>0</v>
      </c>
      <c r="AD86" s="86">
        <f t="shared" si="29"/>
        <v>0</v>
      </c>
    </row>
    <row r="87" spans="1:30" ht="52.5" x14ac:dyDescent="0.25">
      <c r="A87" s="85" t="s">
        <v>254</v>
      </c>
      <c r="B87" s="85" t="s">
        <v>415</v>
      </c>
      <c r="C87" s="85" t="s">
        <v>32</v>
      </c>
      <c r="D87" s="111"/>
      <c r="E87" s="111"/>
      <c r="F87" s="85">
        <v>90</v>
      </c>
      <c r="G87" s="85">
        <v>55</v>
      </c>
      <c r="H87" s="85">
        <v>110</v>
      </c>
      <c r="I87" s="85">
        <v>104</v>
      </c>
      <c r="J87" s="85">
        <v>119</v>
      </c>
      <c r="K87" s="85"/>
      <c r="L87" s="85"/>
      <c r="M87" s="85"/>
      <c r="N87" s="85"/>
      <c r="O87" s="85">
        <f t="shared" si="30"/>
        <v>110</v>
      </c>
      <c r="P87" s="85">
        <f t="shared" si="26"/>
        <v>104</v>
      </c>
      <c r="Q87" s="85">
        <f t="shared" si="27"/>
        <v>119</v>
      </c>
      <c r="R87" s="50">
        <f t="shared" si="31"/>
        <v>0</v>
      </c>
      <c r="S87" s="70">
        <f t="shared" si="32"/>
        <v>0</v>
      </c>
      <c r="T87" s="70">
        <f t="shared" si="33"/>
        <v>0</v>
      </c>
      <c r="U87" s="70">
        <f t="shared" si="34"/>
        <v>0</v>
      </c>
      <c r="V87" s="70">
        <f t="shared" si="35"/>
        <v>0</v>
      </c>
      <c r="W87" s="70">
        <f t="shared" si="36"/>
        <v>0</v>
      </c>
      <c r="X87" s="345">
        <f t="shared" si="37"/>
        <v>0</v>
      </c>
      <c r="Y87" s="345">
        <f t="shared" si="38"/>
        <v>0</v>
      </c>
      <c r="Z87" s="85"/>
      <c r="AA87" s="85">
        <v>0.3</v>
      </c>
      <c r="AB87" s="85">
        <v>0</v>
      </c>
      <c r="AC87" s="86">
        <f t="shared" si="28"/>
        <v>0</v>
      </c>
      <c r="AD87" s="86">
        <f t="shared" si="29"/>
        <v>0</v>
      </c>
    </row>
    <row r="88" spans="1:30" ht="52.5" x14ac:dyDescent="0.25">
      <c r="A88" s="85" t="s">
        <v>254</v>
      </c>
      <c r="B88" s="85" t="s">
        <v>415</v>
      </c>
      <c r="C88" s="85" t="s">
        <v>31</v>
      </c>
      <c r="D88" s="111"/>
      <c r="E88" s="111"/>
      <c r="F88" s="85">
        <v>90</v>
      </c>
      <c r="G88" s="85">
        <v>73</v>
      </c>
      <c r="H88" s="85">
        <v>110</v>
      </c>
      <c r="I88" s="85">
        <v>104</v>
      </c>
      <c r="J88" s="85">
        <v>119</v>
      </c>
      <c r="K88" s="85"/>
      <c r="L88" s="85"/>
      <c r="M88" s="85"/>
      <c r="N88" s="85"/>
      <c r="O88" s="85">
        <f t="shared" si="30"/>
        <v>110</v>
      </c>
      <c r="P88" s="85">
        <f t="shared" si="26"/>
        <v>104</v>
      </c>
      <c r="Q88" s="85">
        <f t="shared" si="27"/>
        <v>119</v>
      </c>
      <c r="R88" s="50">
        <f t="shared" si="31"/>
        <v>0</v>
      </c>
      <c r="S88" s="70">
        <f t="shared" si="32"/>
        <v>0</v>
      </c>
      <c r="T88" s="70">
        <f t="shared" si="33"/>
        <v>0</v>
      </c>
      <c r="U88" s="70">
        <f t="shared" si="34"/>
        <v>0</v>
      </c>
      <c r="V88" s="70">
        <f t="shared" si="35"/>
        <v>0</v>
      </c>
      <c r="W88" s="70">
        <f t="shared" si="36"/>
        <v>0</v>
      </c>
      <c r="X88" s="345">
        <f t="shared" si="37"/>
        <v>0</v>
      </c>
      <c r="Y88" s="345">
        <f t="shared" si="38"/>
        <v>0</v>
      </c>
      <c r="Z88" s="85"/>
      <c r="AA88" s="85">
        <v>0.3</v>
      </c>
      <c r="AB88" s="85">
        <v>0</v>
      </c>
      <c r="AC88" s="86">
        <f t="shared" si="28"/>
        <v>0</v>
      </c>
      <c r="AD88" s="86">
        <f t="shared" si="29"/>
        <v>0</v>
      </c>
    </row>
    <row r="89" spans="1:30" ht="42" x14ac:dyDescent="0.25">
      <c r="A89" s="85" t="s">
        <v>254</v>
      </c>
      <c r="B89" s="85" t="s">
        <v>415</v>
      </c>
      <c r="C89" s="85" t="s">
        <v>33</v>
      </c>
      <c r="D89" s="111"/>
      <c r="E89" s="111"/>
      <c r="F89" s="85">
        <v>90</v>
      </c>
      <c r="G89" s="85">
        <v>55</v>
      </c>
      <c r="H89" s="85">
        <v>110</v>
      </c>
      <c r="I89" s="85">
        <v>104</v>
      </c>
      <c r="J89" s="85">
        <v>119</v>
      </c>
      <c r="K89" s="85"/>
      <c r="L89" s="85"/>
      <c r="M89" s="85"/>
      <c r="N89" s="85"/>
      <c r="O89" s="85">
        <f t="shared" si="30"/>
        <v>110</v>
      </c>
      <c r="P89" s="85">
        <f t="shared" si="26"/>
        <v>104</v>
      </c>
      <c r="Q89" s="85">
        <f t="shared" si="27"/>
        <v>119</v>
      </c>
      <c r="R89" s="50">
        <f t="shared" si="31"/>
        <v>0</v>
      </c>
      <c r="S89" s="70">
        <f t="shared" si="32"/>
        <v>0</v>
      </c>
      <c r="T89" s="70">
        <f t="shared" si="33"/>
        <v>0</v>
      </c>
      <c r="U89" s="70">
        <f t="shared" si="34"/>
        <v>0</v>
      </c>
      <c r="V89" s="70">
        <f t="shared" si="35"/>
        <v>0</v>
      </c>
      <c r="W89" s="70">
        <f t="shared" si="36"/>
        <v>0</v>
      </c>
      <c r="X89" s="345">
        <f t="shared" si="37"/>
        <v>0</v>
      </c>
      <c r="Y89" s="345">
        <f t="shared" si="38"/>
        <v>0</v>
      </c>
      <c r="Z89" s="85"/>
      <c r="AA89" s="85">
        <v>0.3</v>
      </c>
      <c r="AB89" s="85">
        <v>0</v>
      </c>
      <c r="AC89" s="86">
        <f t="shared" si="28"/>
        <v>0</v>
      </c>
      <c r="AD89" s="86">
        <f t="shared" si="29"/>
        <v>0</v>
      </c>
    </row>
    <row r="90" spans="1:30" ht="52.5" x14ac:dyDescent="0.25">
      <c r="A90" s="85" t="s">
        <v>254</v>
      </c>
      <c r="B90" s="85" t="s">
        <v>415</v>
      </c>
      <c r="C90" s="85" t="s">
        <v>35</v>
      </c>
      <c r="D90" s="111"/>
      <c r="E90" s="111"/>
      <c r="F90" s="85">
        <v>90</v>
      </c>
      <c r="G90" s="85">
        <v>37</v>
      </c>
      <c r="H90" s="85">
        <v>110</v>
      </c>
      <c r="I90" s="85">
        <v>104</v>
      </c>
      <c r="J90" s="85">
        <v>119</v>
      </c>
      <c r="K90" s="85"/>
      <c r="L90" s="85"/>
      <c r="M90" s="85"/>
      <c r="N90" s="85"/>
      <c r="O90" s="85">
        <f t="shared" si="30"/>
        <v>110</v>
      </c>
      <c r="P90" s="85">
        <f t="shared" si="26"/>
        <v>104</v>
      </c>
      <c r="Q90" s="85">
        <f t="shared" si="27"/>
        <v>119</v>
      </c>
      <c r="R90" s="50">
        <f t="shared" si="31"/>
        <v>0</v>
      </c>
      <c r="S90" s="70">
        <f t="shared" si="32"/>
        <v>0</v>
      </c>
      <c r="T90" s="70">
        <f t="shared" si="33"/>
        <v>0</v>
      </c>
      <c r="U90" s="70">
        <f t="shared" si="34"/>
        <v>0</v>
      </c>
      <c r="V90" s="70">
        <f t="shared" si="35"/>
        <v>0</v>
      </c>
      <c r="W90" s="70">
        <f t="shared" si="36"/>
        <v>0</v>
      </c>
      <c r="X90" s="345">
        <f t="shared" si="37"/>
        <v>0</v>
      </c>
      <c r="Y90" s="345">
        <f t="shared" si="38"/>
        <v>0</v>
      </c>
      <c r="Z90" s="85"/>
      <c r="AA90" s="85">
        <v>0.3</v>
      </c>
      <c r="AB90" s="85">
        <v>0</v>
      </c>
      <c r="AC90" s="86">
        <f t="shared" si="28"/>
        <v>0</v>
      </c>
      <c r="AD90" s="86">
        <f t="shared" si="29"/>
        <v>0</v>
      </c>
    </row>
    <row r="91" spans="1:30" ht="52.5" x14ac:dyDescent="0.25">
      <c r="A91" s="85" t="s">
        <v>254</v>
      </c>
      <c r="B91" s="85" t="s">
        <v>415</v>
      </c>
      <c r="C91" s="85" t="s">
        <v>29</v>
      </c>
      <c r="D91" s="111"/>
      <c r="E91" s="111"/>
      <c r="F91" s="85">
        <v>90</v>
      </c>
      <c r="G91" s="85">
        <v>44</v>
      </c>
      <c r="H91" s="85">
        <v>110</v>
      </c>
      <c r="I91" s="85">
        <v>104</v>
      </c>
      <c r="J91" s="85">
        <v>119</v>
      </c>
      <c r="K91" s="85"/>
      <c r="L91" s="85"/>
      <c r="M91" s="85"/>
      <c r="N91" s="85"/>
      <c r="O91" s="85">
        <f t="shared" si="30"/>
        <v>110</v>
      </c>
      <c r="P91" s="85">
        <f t="shared" si="26"/>
        <v>104</v>
      </c>
      <c r="Q91" s="85">
        <f t="shared" si="27"/>
        <v>119</v>
      </c>
      <c r="R91" s="50">
        <f t="shared" si="31"/>
        <v>0</v>
      </c>
      <c r="S91" s="70">
        <f t="shared" si="32"/>
        <v>0</v>
      </c>
      <c r="T91" s="70">
        <f t="shared" si="33"/>
        <v>0</v>
      </c>
      <c r="U91" s="70">
        <f t="shared" si="34"/>
        <v>0</v>
      </c>
      <c r="V91" s="70">
        <f t="shared" si="35"/>
        <v>0</v>
      </c>
      <c r="W91" s="70">
        <f t="shared" si="36"/>
        <v>0</v>
      </c>
      <c r="X91" s="345">
        <f t="shared" si="37"/>
        <v>0</v>
      </c>
      <c r="Y91" s="345">
        <f t="shared" si="38"/>
        <v>0</v>
      </c>
      <c r="Z91" s="85"/>
      <c r="AA91" s="85">
        <v>0.3</v>
      </c>
      <c r="AB91" s="85">
        <v>0</v>
      </c>
      <c r="AC91" s="86">
        <f t="shared" si="28"/>
        <v>0</v>
      </c>
      <c r="AD91" s="86">
        <f t="shared" si="29"/>
        <v>0</v>
      </c>
    </row>
    <row r="92" spans="1:30" ht="42" x14ac:dyDescent="0.25">
      <c r="A92" s="85" t="s">
        <v>254</v>
      </c>
      <c r="B92" s="85" t="s">
        <v>415</v>
      </c>
      <c r="C92" s="85" t="s">
        <v>28</v>
      </c>
      <c r="D92" s="111"/>
      <c r="E92" s="111"/>
      <c r="F92" s="85">
        <v>90</v>
      </c>
      <c r="G92" s="85">
        <v>73</v>
      </c>
      <c r="H92" s="85">
        <v>110</v>
      </c>
      <c r="I92" s="85">
        <v>104</v>
      </c>
      <c r="J92" s="85">
        <v>119</v>
      </c>
      <c r="K92" s="85"/>
      <c r="L92" s="85"/>
      <c r="M92" s="85"/>
      <c r="N92" s="85"/>
      <c r="O92" s="85">
        <f t="shared" si="30"/>
        <v>110</v>
      </c>
      <c r="P92" s="85">
        <f t="shared" si="26"/>
        <v>104</v>
      </c>
      <c r="Q92" s="85">
        <f t="shared" si="27"/>
        <v>119</v>
      </c>
      <c r="R92" s="50">
        <f t="shared" si="31"/>
        <v>0</v>
      </c>
      <c r="S92" s="70">
        <f t="shared" si="32"/>
        <v>0</v>
      </c>
      <c r="T92" s="70">
        <f t="shared" si="33"/>
        <v>0</v>
      </c>
      <c r="U92" s="70">
        <f t="shared" si="34"/>
        <v>0</v>
      </c>
      <c r="V92" s="70">
        <f t="shared" si="35"/>
        <v>0</v>
      </c>
      <c r="W92" s="70">
        <f t="shared" si="36"/>
        <v>0</v>
      </c>
      <c r="X92" s="345">
        <f t="shared" si="37"/>
        <v>0</v>
      </c>
      <c r="Y92" s="345">
        <f t="shared" si="38"/>
        <v>0</v>
      </c>
      <c r="Z92" s="85"/>
      <c r="AA92" s="85">
        <v>0.3</v>
      </c>
      <c r="AB92" s="85">
        <v>0</v>
      </c>
      <c r="AC92" s="86">
        <f t="shared" si="28"/>
        <v>0</v>
      </c>
      <c r="AD92" s="86">
        <f t="shared" si="29"/>
        <v>0</v>
      </c>
    </row>
    <row r="93" spans="1:30" ht="42" x14ac:dyDescent="0.25">
      <c r="A93" s="85" t="s">
        <v>254</v>
      </c>
      <c r="B93" s="85" t="s">
        <v>415</v>
      </c>
      <c r="C93" s="85" t="s">
        <v>30</v>
      </c>
      <c r="D93" s="111"/>
      <c r="E93" s="111"/>
      <c r="F93" s="85">
        <v>90</v>
      </c>
      <c r="G93" s="85">
        <v>37</v>
      </c>
      <c r="H93" s="85">
        <v>110</v>
      </c>
      <c r="I93" s="85">
        <v>104</v>
      </c>
      <c r="J93" s="85">
        <v>119</v>
      </c>
      <c r="K93" s="85"/>
      <c r="L93" s="85"/>
      <c r="M93" s="85"/>
      <c r="N93" s="85"/>
      <c r="O93" s="85">
        <f t="shared" si="30"/>
        <v>110</v>
      </c>
      <c r="P93" s="85">
        <f t="shared" si="26"/>
        <v>104</v>
      </c>
      <c r="Q93" s="85">
        <f t="shared" si="27"/>
        <v>119</v>
      </c>
      <c r="R93" s="50">
        <f t="shared" si="31"/>
        <v>0</v>
      </c>
      <c r="S93" s="70">
        <f t="shared" si="32"/>
        <v>0</v>
      </c>
      <c r="T93" s="70">
        <f t="shared" si="33"/>
        <v>0</v>
      </c>
      <c r="U93" s="70">
        <f t="shared" si="34"/>
        <v>0</v>
      </c>
      <c r="V93" s="70">
        <f t="shared" si="35"/>
        <v>0</v>
      </c>
      <c r="W93" s="70">
        <f t="shared" si="36"/>
        <v>0</v>
      </c>
      <c r="X93" s="345">
        <f t="shared" si="37"/>
        <v>0</v>
      </c>
      <c r="Y93" s="345">
        <f t="shared" si="38"/>
        <v>0</v>
      </c>
      <c r="Z93" s="85"/>
      <c r="AA93" s="85">
        <v>0.3</v>
      </c>
      <c r="AB93" s="85">
        <v>0</v>
      </c>
      <c r="AC93" s="86">
        <f t="shared" si="28"/>
        <v>0</v>
      </c>
      <c r="AD93" s="86">
        <f t="shared" si="29"/>
        <v>0</v>
      </c>
    </row>
    <row r="94" spans="1:30" ht="31.5" x14ac:dyDescent="0.25">
      <c r="A94" s="85" t="s">
        <v>254</v>
      </c>
      <c r="B94" s="85" t="s">
        <v>415</v>
      </c>
      <c r="C94" s="85" t="s">
        <v>37</v>
      </c>
      <c r="D94" s="111"/>
      <c r="E94" s="111"/>
      <c r="F94" s="85">
        <v>90</v>
      </c>
      <c r="G94" s="85">
        <v>0.4</v>
      </c>
      <c r="H94" s="85">
        <v>1.2</v>
      </c>
      <c r="I94" s="85">
        <v>1.3</v>
      </c>
      <c r="J94" s="85">
        <v>1.5</v>
      </c>
      <c r="K94" s="85">
        <v>31.2</v>
      </c>
      <c r="L94" s="85">
        <v>108.8</v>
      </c>
      <c r="M94" s="85">
        <f>104-I94</f>
        <v>102.7</v>
      </c>
      <c r="N94" s="85">
        <v>117.5</v>
      </c>
      <c r="O94" s="85">
        <f t="shared" si="30"/>
        <v>110</v>
      </c>
      <c r="P94" s="85">
        <f t="shared" si="26"/>
        <v>104</v>
      </c>
      <c r="Q94" s="85">
        <f t="shared" si="27"/>
        <v>119</v>
      </c>
      <c r="R94" s="50">
        <f t="shared" si="31"/>
        <v>0</v>
      </c>
      <c r="S94" s="70">
        <f t="shared" si="32"/>
        <v>0</v>
      </c>
      <c r="T94" s="70">
        <f t="shared" si="33"/>
        <v>0</v>
      </c>
      <c r="U94" s="70">
        <f t="shared" si="34"/>
        <v>0</v>
      </c>
      <c r="V94" s="70">
        <f t="shared" si="35"/>
        <v>0</v>
      </c>
      <c r="W94" s="70">
        <f t="shared" si="36"/>
        <v>0</v>
      </c>
      <c r="X94" s="345">
        <f t="shared" si="37"/>
        <v>0</v>
      </c>
      <c r="Y94" s="345">
        <f t="shared" si="38"/>
        <v>0</v>
      </c>
      <c r="Z94" s="85"/>
      <c r="AA94" s="85">
        <v>0.3</v>
      </c>
      <c r="AB94" s="85">
        <v>0</v>
      </c>
      <c r="AC94" s="86">
        <f>AA94*D94</f>
        <v>0</v>
      </c>
      <c r="AD94" s="86">
        <f>AB94*D94</f>
        <v>0</v>
      </c>
    </row>
    <row r="95" spans="1:30" ht="31.5" x14ac:dyDescent="0.25">
      <c r="A95" s="85" t="s">
        <v>254</v>
      </c>
      <c r="B95" s="85" t="s">
        <v>415</v>
      </c>
      <c r="C95" s="85" t="s">
        <v>123</v>
      </c>
      <c r="D95" s="111"/>
      <c r="E95" s="111"/>
      <c r="F95" s="85">
        <v>90</v>
      </c>
      <c r="G95" s="85"/>
      <c r="H95" s="85"/>
      <c r="I95" s="85"/>
      <c r="J95" s="85"/>
      <c r="K95" s="85">
        <v>31.6</v>
      </c>
      <c r="L95" s="85">
        <v>110</v>
      </c>
      <c r="M95" s="85">
        <v>104</v>
      </c>
      <c r="N95" s="85">
        <v>119</v>
      </c>
      <c r="O95" s="85">
        <f>L95+H95</f>
        <v>110</v>
      </c>
      <c r="P95" s="85">
        <f t="shared" si="26"/>
        <v>104</v>
      </c>
      <c r="Q95" s="85">
        <f t="shared" si="27"/>
        <v>119</v>
      </c>
      <c r="R95" s="50">
        <f>IF(E95="SI", D95*F95/1000*K95, 0)</f>
        <v>0</v>
      </c>
      <c r="S95" s="70">
        <f>(D95*F95/1000*G95)+R95</f>
        <v>0</v>
      </c>
      <c r="T95" s="70">
        <f>(D95*F95/1000*K95)-R95</f>
        <v>0</v>
      </c>
      <c r="U95" s="70">
        <f>IF(R95=0,H95*D95*F95/1000,((H95*D95*F95/1000)+(L95*D95*F95/1000)))</f>
        <v>0</v>
      </c>
      <c r="V95" s="70">
        <f>IF(R95=0, L95*D95*F95/1000, 0)</f>
        <v>0</v>
      </c>
      <c r="W95" s="70">
        <f>D95*F95/1000</f>
        <v>0</v>
      </c>
      <c r="X95" s="345">
        <f t="shared" si="37"/>
        <v>0</v>
      </c>
      <c r="Y95" s="345">
        <f t="shared" si="38"/>
        <v>0</v>
      </c>
      <c r="Z95" s="85"/>
      <c r="AA95" s="85">
        <v>0.3</v>
      </c>
      <c r="AB95" s="85">
        <v>0</v>
      </c>
      <c r="AC95" s="86">
        <f>AA95*D95</f>
        <v>0</v>
      </c>
      <c r="AD95" s="86">
        <f>AB95*D95</f>
        <v>0</v>
      </c>
    </row>
    <row r="96" spans="1:30" ht="31.5" x14ac:dyDescent="0.25">
      <c r="A96" s="85" t="s">
        <v>254</v>
      </c>
      <c r="B96" s="85" t="s">
        <v>415</v>
      </c>
      <c r="C96" s="85" t="s">
        <v>36</v>
      </c>
      <c r="D96" s="111"/>
      <c r="E96" s="111"/>
      <c r="F96" s="85">
        <v>90</v>
      </c>
      <c r="G96" s="85">
        <v>6</v>
      </c>
      <c r="H96" s="85">
        <v>17.8</v>
      </c>
      <c r="I96" s="85">
        <v>20</v>
      </c>
      <c r="J96" s="85">
        <v>22.9</v>
      </c>
      <c r="K96" s="85">
        <v>25.2</v>
      </c>
      <c r="L96" s="85">
        <v>92.2</v>
      </c>
      <c r="M96" s="85">
        <f>104-I96</f>
        <v>84</v>
      </c>
      <c r="N96" s="85">
        <v>96.1</v>
      </c>
      <c r="O96" s="85">
        <f>L96+H96</f>
        <v>110</v>
      </c>
      <c r="P96" s="85">
        <f t="shared" si="26"/>
        <v>104</v>
      </c>
      <c r="Q96" s="85">
        <f t="shared" si="27"/>
        <v>119</v>
      </c>
      <c r="R96" s="50">
        <f>IF(E96="SI", D96*F96/1000*K96, 0)</f>
        <v>0</v>
      </c>
      <c r="S96" s="70">
        <f>(D96*F96/1000*G96)+R96</f>
        <v>0</v>
      </c>
      <c r="T96" s="70">
        <f>(D96*F96/1000*K96)-R96</f>
        <v>0</v>
      </c>
      <c r="U96" s="70">
        <f>IF(R96=0,H96*D96*F96/1000,((H96*D96*F96/1000)+(L96*D96*F96/1000)))</f>
        <v>0</v>
      </c>
      <c r="V96" s="70">
        <f>IF(R96=0, L96*D96*F96/1000, 0)</f>
        <v>0</v>
      </c>
      <c r="W96" s="70">
        <f>D96*F96/1000</f>
        <v>0</v>
      </c>
      <c r="X96" s="345">
        <f t="shared" si="37"/>
        <v>0</v>
      </c>
      <c r="Y96" s="345">
        <f t="shared" si="38"/>
        <v>0</v>
      </c>
      <c r="Z96" s="85"/>
      <c r="AA96" s="85">
        <v>0.3</v>
      </c>
      <c r="AB96" s="85">
        <v>0</v>
      </c>
      <c r="AC96" s="86">
        <f>AA96*D96</f>
        <v>0</v>
      </c>
      <c r="AD96" s="86">
        <f>AB96*D96</f>
        <v>0</v>
      </c>
    </row>
    <row r="97" spans="1:30" ht="52.5" x14ac:dyDescent="0.25">
      <c r="A97" s="85" t="s">
        <v>0</v>
      </c>
      <c r="B97" s="85" t="s">
        <v>1</v>
      </c>
      <c r="C97" s="85" t="s">
        <v>8</v>
      </c>
      <c r="D97" s="111"/>
      <c r="E97" s="111"/>
      <c r="F97" s="85">
        <v>180</v>
      </c>
      <c r="G97" s="85">
        <v>44</v>
      </c>
      <c r="H97" s="85">
        <v>101</v>
      </c>
      <c r="I97" s="85">
        <v>67.3</v>
      </c>
      <c r="J97" s="85">
        <v>119</v>
      </c>
      <c r="K97" s="85"/>
      <c r="L97" s="85"/>
      <c r="M97" s="85"/>
      <c r="N97" s="85"/>
      <c r="O97" s="85">
        <f t="shared" si="30"/>
        <v>101</v>
      </c>
      <c r="P97" s="85">
        <f t="shared" si="26"/>
        <v>67.3</v>
      </c>
      <c r="Q97" s="85">
        <f t="shared" si="27"/>
        <v>119</v>
      </c>
      <c r="R97" s="50">
        <f t="shared" si="31"/>
        <v>0</v>
      </c>
      <c r="S97" s="70">
        <f t="shared" si="32"/>
        <v>0</v>
      </c>
      <c r="T97" s="70">
        <f t="shared" si="33"/>
        <v>0</v>
      </c>
      <c r="U97" s="70">
        <f t="shared" si="34"/>
        <v>0</v>
      </c>
      <c r="V97" s="70">
        <f t="shared" si="35"/>
        <v>0</v>
      </c>
      <c r="W97" s="70">
        <f t="shared" si="36"/>
        <v>0</v>
      </c>
      <c r="X97" s="345">
        <f t="shared" si="37"/>
        <v>0</v>
      </c>
      <c r="Y97" s="345">
        <f t="shared" si="38"/>
        <v>0</v>
      </c>
      <c r="Z97" s="85"/>
      <c r="AA97" s="85">
        <v>0.5</v>
      </c>
      <c r="AB97" s="85">
        <v>0</v>
      </c>
      <c r="AC97" s="86">
        <f t="shared" si="28"/>
        <v>0</v>
      </c>
      <c r="AD97" s="86">
        <f t="shared" si="29"/>
        <v>0</v>
      </c>
    </row>
    <row r="98" spans="1:30" ht="42" x14ac:dyDescent="0.25">
      <c r="A98" s="85" t="s">
        <v>0</v>
      </c>
      <c r="B98" s="85" t="s">
        <v>1</v>
      </c>
      <c r="C98" s="85" t="s">
        <v>7</v>
      </c>
      <c r="D98" s="111"/>
      <c r="E98" s="111"/>
      <c r="F98" s="85">
        <v>180</v>
      </c>
      <c r="G98" s="85">
        <v>55</v>
      </c>
      <c r="H98" s="85">
        <v>101</v>
      </c>
      <c r="I98" s="85">
        <v>67.3</v>
      </c>
      <c r="J98" s="85">
        <v>119</v>
      </c>
      <c r="K98" s="85"/>
      <c r="L98" s="85"/>
      <c r="M98" s="85"/>
      <c r="N98" s="85"/>
      <c r="O98" s="85">
        <f t="shared" si="30"/>
        <v>101</v>
      </c>
      <c r="P98" s="85">
        <f t="shared" si="26"/>
        <v>67.3</v>
      </c>
      <c r="Q98" s="85">
        <f t="shared" si="27"/>
        <v>119</v>
      </c>
      <c r="R98" s="50">
        <f t="shared" si="31"/>
        <v>0</v>
      </c>
      <c r="S98" s="70">
        <f t="shared" si="32"/>
        <v>0</v>
      </c>
      <c r="T98" s="70">
        <f t="shared" si="33"/>
        <v>0</v>
      </c>
      <c r="U98" s="70">
        <f t="shared" si="34"/>
        <v>0</v>
      </c>
      <c r="V98" s="70">
        <f t="shared" si="35"/>
        <v>0</v>
      </c>
      <c r="W98" s="70">
        <f t="shared" si="36"/>
        <v>0</v>
      </c>
      <c r="X98" s="345">
        <f t="shared" si="37"/>
        <v>0</v>
      </c>
      <c r="Y98" s="345">
        <f t="shared" si="38"/>
        <v>0</v>
      </c>
      <c r="Z98" s="85"/>
      <c r="AA98" s="85">
        <v>0.5</v>
      </c>
      <c r="AB98" s="85">
        <v>0</v>
      </c>
      <c r="AC98" s="86">
        <f t="shared" si="28"/>
        <v>0</v>
      </c>
      <c r="AD98" s="86">
        <f t="shared" si="29"/>
        <v>0</v>
      </c>
    </row>
    <row r="99" spans="1:30" ht="42" x14ac:dyDescent="0.25">
      <c r="A99" s="85" t="s">
        <v>0</v>
      </c>
      <c r="B99" s="85" t="s">
        <v>1</v>
      </c>
      <c r="C99" s="85" t="s">
        <v>6</v>
      </c>
      <c r="D99" s="111"/>
      <c r="E99" s="111"/>
      <c r="F99" s="85">
        <v>180</v>
      </c>
      <c r="G99" s="85">
        <v>55</v>
      </c>
      <c r="H99" s="85">
        <v>101</v>
      </c>
      <c r="I99" s="85">
        <v>67.3</v>
      </c>
      <c r="J99" s="85">
        <v>119</v>
      </c>
      <c r="K99" s="85"/>
      <c r="L99" s="85"/>
      <c r="M99" s="85"/>
      <c r="N99" s="85"/>
      <c r="O99" s="85">
        <f t="shared" si="30"/>
        <v>101</v>
      </c>
      <c r="P99" s="85">
        <f t="shared" si="26"/>
        <v>67.3</v>
      </c>
      <c r="Q99" s="85">
        <f t="shared" si="27"/>
        <v>119</v>
      </c>
      <c r="R99" s="50">
        <f t="shared" si="31"/>
        <v>0</v>
      </c>
      <c r="S99" s="70">
        <f t="shared" si="32"/>
        <v>0</v>
      </c>
      <c r="T99" s="70">
        <f t="shared" si="33"/>
        <v>0</v>
      </c>
      <c r="U99" s="70">
        <f t="shared" si="34"/>
        <v>0</v>
      </c>
      <c r="V99" s="70">
        <f t="shared" si="35"/>
        <v>0</v>
      </c>
      <c r="W99" s="70">
        <f t="shared" si="36"/>
        <v>0</v>
      </c>
      <c r="X99" s="345">
        <f t="shared" si="37"/>
        <v>0</v>
      </c>
      <c r="Y99" s="345">
        <f t="shared" si="38"/>
        <v>0</v>
      </c>
      <c r="Z99" s="85"/>
      <c r="AA99" s="85">
        <v>0.5</v>
      </c>
      <c r="AB99" s="85">
        <v>0</v>
      </c>
      <c r="AC99" s="86">
        <f t="shared" si="28"/>
        <v>0</v>
      </c>
      <c r="AD99" s="86">
        <f t="shared" si="29"/>
        <v>0</v>
      </c>
    </row>
    <row r="100" spans="1:30" ht="52.5" x14ac:dyDescent="0.25">
      <c r="A100" s="85" t="s">
        <v>0</v>
      </c>
      <c r="B100" s="85" t="s">
        <v>1</v>
      </c>
      <c r="C100" s="85" t="s">
        <v>5</v>
      </c>
      <c r="D100" s="111"/>
      <c r="E100" s="111"/>
      <c r="F100" s="85">
        <v>180</v>
      </c>
      <c r="G100" s="85">
        <v>73</v>
      </c>
      <c r="H100" s="85">
        <v>101</v>
      </c>
      <c r="I100" s="85">
        <v>67.3</v>
      </c>
      <c r="J100" s="85">
        <v>119</v>
      </c>
      <c r="K100" s="85"/>
      <c r="L100" s="85"/>
      <c r="M100" s="85"/>
      <c r="N100" s="85"/>
      <c r="O100" s="85">
        <f t="shared" si="30"/>
        <v>101</v>
      </c>
      <c r="P100" s="85">
        <f t="shared" si="26"/>
        <v>67.3</v>
      </c>
      <c r="Q100" s="85">
        <f t="shared" si="27"/>
        <v>119</v>
      </c>
      <c r="R100" s="50">
        <f t="shared" si="31"/>
        <v>0</v>
      </c>
      <c r="S100" s="70">
        <f t="shared" si="32"/>
        <v>0</v>
      </c>
      <c r="T100" s="70">
        <f t="shared" si="33"/>
        <v>0</v>
      </c>
      <c r="U100" s="70">
        <f t="shared" si="34"/>
        <v>0</v>
      </c>
      <c r="V100" s="70">
        <f t="shared" si="35"/>
        <v>0</v>
      </c>
      <c r="W100" s="70">
        <f t="shared" si="36"/>
        <v>0</v>
      </c>
      <c r="X100" s="345">
        <f t="shared" si="37"/>
        <v>0</v>
      </c>
      <c r="Y100" s="345">
        <f t="shared" si="38"/>
        <v>0</v>
      </c>
      <c r="Z100" s="85"/>
      <c r="AA100" s="85">
        <v>0.5</v>
      </c>
      <c r="AB100" s="85">
        <v>0</v>
      </c>
      <c r="AC100" s="86">
        <f t="shared" si="28"/>
        <v>0</v>
      </c>
      <c r="AD100" s="86">
        <f t="shared" si="29"/>
        <v>0</v>
      </c>
    </row>
    <row r="101" spans="1:30" ht="42" x14ac:dyDescent="0.25">
      <c r="A101" s="85" t="s">
        <v>0</v>
      </c>
      <c r="B101" s="85" t="s">
        <v>1</v>
      </c>
      <c r="C101" s="85" t="s">
        <v>9</v>
      </c>
      <c r="D101" s="111"/>
      <c r="E101" s="111"/>
      <c r="F101" s="85">
        <v>180</v>
      </c>
      <c r="G101" s="85">
        <v>37</v>
      </c>
      <c r="H101" s="85">
        <v>101</v>
      </c>
      <c r="I101" s="85">
        <v>67.3</v>
      </c>
      <c r="J101" s="85">
        <v>119</v>
      </c>
      <c r="K101" s="85"/>
      <c r="L101" s="85"/>
      <c r="M101" s="85"/>
      <c r="N101" s="85"/>
      <c r="O101" s="85">
        <f t="shared" si="30"/>
        <v>101</v>
      </c>
      <c r="P101" s="85">
        <f t="shared" si="26"/>
        <v>67.3</v>
      </c>
      <c r="Q101" s="85">
        <f t="shared" si="27"/>
        <v>119</v>
      </c>
      <c r="R101" s="50">
        <f t="shared" si="31"/>
        <v>0</v>
      </c>
      <c r="S101" s="70">
        <f t="shared" si="32"/>
        <v>0</v>
      </c>
      <c r="T101" s="70">
        <f t="shared" si="33"/>
        <v>0</v>
      </c>
      <c r="U101" s="70">
        <f t="shared" si="34"/>
        <v>0</v>
      </c>
      <c r="V101" s="70">
        <f t="shared" si="35"/>
        <v>0</v>
      </c>
      <c r="W101" s="70">
        <f t="shared" si="36"/>
        <v>0</v>
      </c>
      <c r="X101" s="345">
        <f t="shared" si="37"/>
        <v>0</v>
      </c>
      <c r="Y101" s="345">
        <f t="shared" si="38"/>
        <v>0</v>
      </c>
      <c r="Z101" s="85"/>
      <c r="AA101" s="85">
        <v>0.5</v>
      </c>
      <c r="AB101" s="85">
        <v>0</v>
      </c>
      <c r="AC101" s="86">
        <f t="shared" si="28"/>
        <v>0</v>
      </c>
      <c r="AD101" s="86">
        <f t="shared" si="29"/>
        <v>0</v>
      </c>
    </row>
    <row r="102" spans="1:30" ht="52.5" x14ac:dyDescent="0.25">
      <c r="A102" s="85" t="s">
        <v>0</v>
      </c>
      <c r="B102" s="85" t="s">
        <v>1</v>
      </c>
      <c r="C102" s="85" t="s">
        <v>3</v>
      </c>
      <c r="D102" s="111"/>
      <c r="E102" s="111"/>
      <c r="F102" s="85">
        <v>180</v>
      </c>
      <c r="G102" s="85">
        <v>44</v>
      </c>
      <c r="H102" s="85">
        <v>101</v>
      </c>
      <c r="I102" s="85">
        <v>67.3</v>
      </c>
      <c r="J102" s="85">
        <v>119</v>
      </c>
      <c r="K102" s="85"/>
      <c r="L102" s="85"/>
      <c r="M102" s="85"/>
      <c r="N102" s="85"/>
      <c r="O102" s="85">
        <f t="shared" si="30"/>
        <v>101</v>
      </c>
      <c r="P102" s="85">
        <f t="shared" si="26"/>
        <v>67.3</v>
      </c>
      <c r="Q102" s="85">
        <f t="shared" si="27"/>
        <v>119</v>
      </c>
      <c r="R102" s="50">
        <f t="shared" si="31"/>
        <v>0</v>
      </c>
      <c r="S102" s="70">
        <f t="shared" si="32"/>
        <v>0</v>
      </c>
      <c r="T102" s="70">
        <f t="shared" si="33"/>
        <v>0</v>
      </c>
      <c r="U102" s="70">
        <f t="shared" si="34"/>
        <v>0</v>
      </c>
      <c r="V102" s="70">
        <f t="shared" si="35"/>
        <v>0</v>
      </c>
      <c r="W102" s="70">
        <f t="shared" si="36"/>
        <v>0</v>
      </c>
      <c r="X102" s="345">
        <f t="shared" si="37"/>
        <v>0</v>
      </c>
      <c r="Y102" s="345">
        <f t="shared" si="38"/>
        <v>0</v>
      </c>
      <c r="Z102" s="85"/>
      <c r="AA102" s="85">
        <v>0.5</v>
      </c>
      <c r="AB102" s="85">
        <v>0</v>
      </c>
      <c r="AC102" s="86">
        <f t="shared" si="28"/>
        <v>0</v>
      </c>
      <c r="AD102" s="86">
        <f t="shared" si="29"/>
        <v>0</v>
      </c>
    </row>
    <row r="103" spans="1:30" ht="42" x14ac:dyDescent="0.25">
      <c r="A103" s="85" t="s">
        <v>0</v>
      </c>
      <c r="B103" s="85" t="s">
        <v>1</v>
      </c>
      <c r="C103" s="85" t="s">
        <v>2</v>
      </c>
      <c r="D103" s="111"/>
      <c r="E103" s="111"/>
      <c r="F103" s="85">
        <v>180</v>
      </c>
      <c r="G103" s="85">
        <v>73</v>
      </c>
      <c r="H103" s="85">
        <v>101</v>
      </c>
      <c r="I103" s="85">
        <v>67.3</v>
      </c>
      <c r="J103" s="85">
        <v>119</v>
      </c>
      <c r="K103" s="85"/>
      <c r="L103" s="85"/>
      <c r="M103" s="85"/>
      <c r="N103" s="85"/>
      <c r="O103" s="85">
        <f t="shared" si="30"/>
        <v>101</v>
      </c>
      <c r="P103" s="85">
        <f t="shared" si="26"/>
        <v>67.3</v>
      </c>
      <c r="Q103" s="85">
        <f t="shared" si="27"/>
        <v>119</v>
      </c>
      <c r="R103" s="50">
        <f t="shared" si="31"/>
        <v>0</v>
      </c>
      <c r="S103" s="70">
        <f t="shared" si="32"/>
        <v>0</v>
      </c>
      <c r="T103" s="70">
        <f t="shared" si="33"/>
        <v>0</v>
      </c>
      <c r="U103" s="70">
        <f t="shared" si="34"/>
        <v>0</v>
      </c>
      <c r="V103" s="70">
        <f t="shared" si="35"/>
        <v>0</v>
      </c>
      <c r="W103" s="70">
        <f t="shared" si="36"/>
        <v>0</v>
      </c>
      <c r="X103" s="345">
        <f t="shared" si="37"/>
        <v>0</v>
      </c>
      <c r="Y103" s="345">
        <f t="shared" si="38"/>
        <v>0</v>
      </c>
      <c r="Z103" s="85"/>
      <c r="AA103" s="85">
        <v>0.5</v>
      </c>
      <c r="AB103" s="85">
        <v>0</v>
      </c>
      <c r="AC103" s="86">
        <f t="shared" si="28"/>
        <v>0</v>
      </c>
      <c r="AD103" s="86">
        <f t="shared" si="29"/>
        <v>0</v>
      </c>
    </row>
    <row r="104" spans="1:30" ht="42" x14ac:dyDescent="0.25">
      <c r="A104" s="85" t="s">
        <v>0</v>
      </c>
      <c r="B104" s="85" t="s">
        <v>1</v>
      </c>
      <c r="C104" s="85" t="s">
        <v>4</v>
      </c>
      <c r="D104" s="111"/>
      <c r="E104" s="111"/>
      <c r="F104" s="85">
        <v>180</v>
      </c>
      <c r="G104" s="85">
        <v>37</v>
      </c>
      <c r="H104" s="85">
        <v>101</v>
      </c>
      <c r="I104" s="85">
        <v>67.3</v>
      </c>
      <c r="J104" s="85">
        <v>119</v>
      </c>
      <c r="K104" s="85"/>
      <c r="L104" s="85"/>
      <c r="M104" s="85"/>
      <c r="N104" s="85"/>
      <c r="O104" s="85">
        <f t="shared" si="30"/>
        <v>101</v>
      </c>
      <c r="P104" s="85">
        <f t="shared" si="26"/>
        <v>67.3</v>
      </c>
      <c r="Q104" s="85">
        <f t="shared" si="27"/>
        <v>119</v>
      </c>
      <c r="R104" s="50">
        <f t="shared" si="31"/>
        <v>0</v>
      </c>
      <c r="S104" s="70">
        <f t="shared" si="32"/>
        <v>0</v>
      </c>
      <c r="T104" s="70">
        <f t="shared" si="33"/>
        <v>0</v>
      </c>
      <c r="U104" s="70">
        <f t="shared" si="34"/>
        <v>0</v>
      </c>
      <c r="V104" s="70">
        <f t="shared" si="35"/>
        <v>0</v>
      </c>
      <c r="W104" s="70">
        <f t="shared" si="36"/>
        <v>0</v>
      </c>
      <c r="X104" s="345">
        <f t="shared" si="37"/>
        <v>0</v>
      </c>
      <c r="Y104" s="345">
        <f t="shared" si="38"/>
        <v>0</v>
      </c>
      <c r="Z104" s="85"/>
      <c r="AA104" s="85">
        <v>0.5</v>
      </c>
      <c r="AB104" s="85">
        <v>0</v>
      </c>
      <c r="AC104" s="86">
        <f t="shared" si="28"/>
        <v>0</v>
      </c>
      <c r="AD104" s="86">
        <f t="shared" si="29"/>
        <v>0</v>
      </c>
    </row>
    <row r="105" spans="1:30" ht="31.5" x14ac:dyDescent="0.25">
      <c r="A105" s="85" t="s">
        <v>0</v>
      </c>
      <c r="B105" s="85" t="s">
        <v>1</v>
      </c>
      <c r="C105" s="85" t="s">
        <v>12</v>
      </c>
      <c r="D105" s="111"/>
      <c r="E105" s="111"/>
      <c r="F105" s="85">
        <v>180</v>
      </c>
      <c r="G105" s="85">
        <v>37</v>
      </c>
      <c r="H105" s="85">
        <v>101</v>
      </c>
      <c r="I105" s="85">
        <v>67.3</v>
      </c>
      <c r="J105" s="85">
        <v>119</v>
      </c>
      <c r="K105" s="85"/>
      <c r="L105" s="85"/>
      <c r="M105" s="85"/>
      <c r="N105" s="85"/>
      <c r="O105" s="85">
        <f t="shared" si="30"/>
        <v>101</v>
      </c>
      <c r="P105" s="85">
        <f t="shared" si="26"/>
        <v>67.3</v>
      </c>
      <c r="Q105" s="85">
        <f t="shared" si="27"/>
        <v>119</v>
      </c>
      <c r="R105" s="50">
        <f t="shared" si="31"/>
        <v>0</v>
      </c>
      <c r="S105" s="70">
        <f t="shared" si="32"/>
        <v>0</v>
      </c>
      <c r="T105" s="70">
        <f t="shared" si="33"/>
        <v>0</v>
      </c>
      <c r="U105" s="70">
        <f t="shared" si="34"/>
        <v>0</v>
      </c>
      <c r="V105" s="70">
        <f t="shared" si="35"/>
        <v>0</v>
      </c>
      <c r="W105" s="70">
        <f t="shared" si="36"/>
        <v>0</v>
      </c>
      <c r="X105" s="345">
        <f t="shared" si="37"/>
        <v>0</v>
      </c>
      <c r="Y105" s="345">
        <f t="shared" si="38"/>
        <v>0</v>
      </c>
      <c r="Z105" s="85"/>
      <c r="AA105" s="85">
        <v>0.5</v>
      </c>
      <c r="AB105" s="85">
        <v>0</v>
      </c>
      <c r="AC105" s="86">
        <f t="shared" si="28"/>
        <v>0</v>
      </c>
      <c r="AD105" s="86">
        <f t="shared" si="29"/>
        <v>0</v>
      </c>
    </row>
    <row r="106" spans="1:30" ht="42" x14ac:dyDescent="0.25">
      <c r="A106" s="85" t="s">
        <v>0</v>
      </c>
      <c r="B106" s="85" t="s">
        <v>1</v>
      </c>
      <c r="C106" s="85" t="s">
        <v>13</v>
      </c>
      <c r="D106" s="111"/>
      <c r="E106" s="111"/>
      <c r="F106" s="85">
        <v>180</v>
      </c>
      <c r="G106" s="85">
        <v>22</v>
      </c>
      <c r="H106" s="85">
        <v>60</v>
      </c>
      <c r="I106" s="85">
        <v>40</v>
      </c>
      <c r="J106" s="85">
        <v>57.2</v>
      </c>
      <c r="K106" s="85">
        <v>23.8</v>
      </c>
      <c r="L106" s="85">
        <v>41</v>
      </c>
      <c r="M106" s="85">
        <v>27.3</v>
      </c>
      <c r="N106" s="85">
        <v>61.8</v>
      </c>
      <c r="O106" s="85">
        <f t="shared" si="30"/>
        <v>101</v>
      </c>
      <c r="P106" s="85">
        <f t="shared" si="26"/>
        <v>67.3</v>
      </c>
      <c r="Q106" s="85">
        <f t="shared" si="27"/>
        <v>119</v>
      </c>
      <c r="R106" s="50">
        <f t="shared" si="31"/>
        <v>0</v>
      </c>
      <c r="S106" s="70">
        <f t="shared" si="32"/>
        <v>0</v>
      </c>
      <c r="T106" s="70">
        <f t="shared" si="33"/>
        <v>0</v>
      </c>
      <c r="U106" s="70">
        <f t="shared" si="34"/>
        <v>0</v>
      </c>
      <c r="V106" s="70">
        <f t="shared" si="35"/>
        <v>0</v>
      </c>
      <c r="W106" s="70">
        <f t="shared" si="36"/>
        <v>0</v>
      </c>
      <c r="X106" s="345">
        <f t="shared" si="37"/>
        <v>0</v>
      </c>
      <c r="Y106" s="345">
        <f t="shared" si="38"/>
        <v>0</v>
      </c>
      <c r="Z106" s="85"/>
      <c r="AA106" s="85">
        <v>0.5</v>
      </c>
      <c r="AB106" s="85">
        <v>0</v>
      </c>
      <c r="AC106" s="86">
        <f t="shared" si="28"/>
        <v>0</v>
      </c>
      <c r="AD106" s="86">
        <f t="shared" si="29"/>
        <v>0</v>
      </c>
    </row>
    <row r="107" spans="1:30" ht="21" x14ac:dyDescent="0.25">
      <c r="A107" s="85" t="s">
        <v>0</v>
      </c>
      <c r="B107" s="85" t="s">
        <v>1</v>
      </c>
      <c r="C107" s="85" t="s">
        <v>11</v>
      </c>
      <c r="D107" s="111"/>
      <c r="E107" s="111"/>
      <c r="F107" s="85">
        <v>180</v>
      </c>
      <c r="G107" s="85">
        <v>37</v>
      </c>
      <c r="H107" s="85">
        <v>101</v>
      </c>
      <c r="I107" s="85">
        <v>67.3</v>
      </c>
      <c r="J107" s="85">
        <v>119</v>
      </c>
      <c r="K107" s="85"/>
      <c r="L107" s="85"/>
      <c r="M107" s="85"/>
      <c r="N107" s="85"/>
      <c r="O107" s="85">
        <f t="shared" si="30"/>
        <v>101</v>
      </c>
      <c r="P107" s="85">
        <f t="shared" si="26"/>
        <v>67.3</v>
      </c>
      <c r="Q107" s="85">
        <f t="shared" si="27"/>
        <v>119</v>
      </c>
      <c r="R107" s="50">
        <f t="shared" si="31"/>
        <v>0</v>
      </c>
      <c r="S107" s="70">
        <f t="shared" si="32"/>
        <v>0</v>
      </c>
      <c r="T107" s="70">
        <f t="shared" si="33"/>
        <v>0</v>
      </c>
      <c r="U107" s="70">
        <f t="shared" si="34"/>
        <v>0</v>
      </c>
      <c r="V107" s="70">
        <f t="shared" si="35"/>
        <v>0</v>
      </c>
      <c r="W107" s="70">
        <f t="shared" si="36"/>
        <v>0</v>
      </c>
      <c r="X107" s="345">
        <f t="shared" si="37"/>
        <v>0</v>
      </c>
      <c r="Y107" s="345">
        <f t="shared" si="38"/>
        <v>0</v>
      </c>
      <c r="Z107" s="85"/>
      <c r="AA107" s="85">
        <v>0.5</v>
      </c>
      <c r="AB107" s="85">
        <v>0</v>
      </c>
      <c r="AC107" s="86">
        <f t="shared" si="28"/>
        <v>0</v>
      </c>
      <c r="AD107" s="86">
        <f t="shared" si="29"/>
        <v>0</v>
      </c>
    </row>
    <row r="108" spans="1:30" ht="31.5" x14ac:dyDescent="0.25">
      <c r="A108" s="85" t="s">
        <v>0</v>
      </c>
      <c r="B108" s="85" t="s">
        <v>1</v>
      </c>
      <c r="C108" s="85" t="s">
        <v>10</v>
      </c>
      <c r="D108" s="111"/>
      <c r="E108" s="111"/>
      <c r="F108" s="85">
        <v>180</v>
      </c>
      <c r="G108" s="85">
        <v>55</v>
      </c>
      <c r="H108" s="85">
        <v>101</v>
      </c>
      <c r="I108" s="85">
        <v>67.3</v>
      </c>
      <c r="J108" s="85">
        <v>119</v>
      </c>
      <c r="K108" s="85"/>
      <c r="L108" s="85"/>
      <c r="M108" s="85"/>
      <c r="N108" s="85"/>
      <c r="O108" s="85">
        <f t="shared" si="30"/>
        <v>101</v>
      </c>
      <c r="P108" s="85">
        <f t="shared" si="26"/>
        <v>67.3</v>
      </c>
      <c r="Q108" s="85">
        <f t="shared" si="27"/>
        <v>119</v>
      </c>
      <c r="R108" s="50">
        <f t="shared" si="31"/>
        <v>0</v>
      </c>
      <c r="S108" s="70">
        <f t="shared" si="32"/>
        <v>0</v>
      </c>
      <c r="T108" s="70">
        <f t="shared" si="33"/>
        <v>0</v>
      </c>
      <c r="U108" s="70">
        <f t="shared" si="34"/>
        <v>0</v>
      </c>
      <c r="V108" s="70">
        <f t="shared" si="35"/>
        <v>0</v>
      </c>
      <c r="W108" s="70">
        <f t="shared" si="36"/>
        <v>0</v>
      </c>
      <c r="X108" s="345">
        <f t="shared" si="37"/>
        <v>0</v>
      </c>
      <c r="Y108" s="345">
        <f t="shared" si="38"/>
        <v>0</v>
      </c>
      <c r="Z108" s="85"/>
      <c r="AA108" s="85">
        <v>0.5</v>
      </c>
      <c r="AB108" s="85">
        <v>0</v>
      </c>
      <c r="AC108" s="86">
        <f t="shared" si="28"/>
        <v>0</v>
      </c>
      <c r="AD108" s="86">
        <f t="shared" si="29"/>
        <v>0</v>
      </c>
    </row>
    <row r="109" spans="1:30" ht="63" x14ac:dyDescent="0.25">
      <c r="A109" s="85" t="s">
        <v>0</v>
      </c>
      <c r="B109" s="85" t="s">
        <v>1</v>
      </c>
      <c r="C109" s="85" t="s">
        <v>15</v>
      </c>
      <c r="D109" s="111"/>
      <c r="E109" s="111"/>
      <c r="F109" s="85">
        <v>180</v>
      </c>
      <c r="G109" s="85">
        <v>55</v>
      </c>
      <c r="H109" s="85">
        <v>101</v>
      </c>
      <c r="I109" s="85">
        <v>67.3</v>
      </c>
      <c r="J109" s="85">
        <v>119</v>
      </c>
      <c r="K109" s="85"/>
      <c r="L109" s="85"/>
      <c r="M109" s="85"/>
      <c r="N109" s="85"/>
      <c r="O109" s="85">
        <f t="shared" si="30"/>
        <v>101</v>
      </c>
      <c r="P109" s="85">
        <f t="shared" si="26"/>
        <v>67.3</v>
      </c>
      <c r="Q109" s="85">
        <f t="shared" si="27"/>
        <v>119</v>
      </c>
      <c r="R109" s="50">
        <f t="shared" si="31"/>
        <v>0</v>
      </c>
      <c r="S109" s="70">
        <f t="shared" si="32"/>
        <v>0</v>
      </c>
      <c r="T109" s="70">
        <f t="shared" si="33"/>
        <v>0</v>
      </c>
      <c r="U109" s="70">
        <f t="shared" si="34"/>
        <v>0</v>
      </c>
      <c r="V109" s="70">
        <f t="shared" si="35"/>
        <v>0</v>
      </c>
      <c r="W109" s="70">
        <f t="shared" si="36"/>
        <v>0</v>
      </c>
      <c r="X109" s="345">
        <f t="shared" si="37"/>
        <v>0</v>
      </c>
      <c r="Y109" s="345">
        <f t="shared" si="38"/>
        <v>0</v>
      </c>
      <c r="Z109" s="85"/>
      <c r="AA109" s="85">
        <v>0.5</v>
      </c>
      <c r="AB109" s="85">
        <v>0</v>
      </c>
      <c r="AC109" s="86">
        <f t="shared" si="28"/>
        <v>0</v>
      </c>
      <c r="AD109" s="86">
        <f t="shared" si="29"/>
        <v>0</v>
      </c>
    </row>
    <row r="110" spans="1:30" ht="52.5" x14ac:dyDescent="0.25">
      <c r="A110" s="85" t="s">
        <v>0</v>
      </c>
      <c r="B110" s="85" t="s">
        <v>1</v>
      </c>
      <c r="C110" s="85" t="s">
        <v>14</v>
      </c>
      <c r="D110" s="111"/>
      <c r="E110" s="111"/>
      <c r="F110" s="85">
        <v>180</v>
      </c>
      <c r="G110" s="85">
        <v>73</v>
      </c>
      <c r="H110" s="85">
        <v>101</v>
      </c>
      <c r="I110" s="85">
        <v>67.3</v>
      </c>
      <c r="J110" s="85">
        <v>119</v>
      </c>
      <c r="K110" s="85"/>
      <c r="L110" s="85"/>
      <c r="M110" s="85"/>
      <c r="N110" s="85"/>
      <c r="O110" s="85">
        <f t="shared" si="30"/>
        <v>101</v>
      </c>
      <c r="P110" s="85">
        <f t="shared" si="26"/>
        <v>67.3</v>
      </c>
      <c r="Q110" s="85">
        <f t="shared" si="27"/>
        <v>119</v>
      </c>
      <c r="R110" s="50">
        <f t="shared" si="31"/>
        <v>0</v>
      </c>
      <c r="S110" s="70">
        <f t="shared" si="32"/>
        <v>0</v>
      </c>
      <c r="T110" s="70">
        <f t="shared" si="33"/>
        <v>0</v>
      </c>
      <c r="U110" s="70">
        <f t="shared" si="34"/>
        <v>0</v>
      </c>
      <c r="V110" s="70">
        <f t="shared" si="35"/>
        <v>0</v>
      </c>
      <c r="W110" s="70">
        <f t="shared" si="36"/>
        <v>0</v>
      </c>
      <c r="X110" s="345">
        <f t="shared" si="37"/>
        <v>0</v>
      </c>
      <c r="Y110" s="345">
        <f t="shared" si="38"/>
        <v>0</v>
      </c>
      <c r="Z110" s="85"/>
      <c r="AA110" s="85">
        <v>0.5</v>
      </c>
      <c r="AB110" s="85">
        <v>0</v>
      </c>
      <c r="AC110" s="86">
        <f t="shared" si="28"/>
        <v>0</v>
      </c>
      <c r="AD110" s="86">
        <f t="shared" si="29"/>
        <v>0</v>
      </c>
    </row>
    <row r="111" spans="1:30" ht="31.5" x14ac:dyDescent="0.25">
      <c r="A111" s="85" t="s">
        <v>0</v>
      </c>
      <c r="B111" s="85" t="s">
        <v>1</v>
      </c>
      <c r="C111" s="85" t="s">
        <v>16</v>
      </c>
      <c r="D111" s="111"/>
      <c r="E111" s="111"/>
      <c r="F111" s="85">
        <v>180</v>
      </c>
      <c r="G111" s="85">
        <v>0.4</v>
      </c>
      <c r="H111" s="85">
        <v>1.1000000000000001</v>
      </c>
      <c r="I111" s="85">
        <v>0.7</v>
      </c>
      <c r="J111" s="85">
        <v>1.5</v>
      </c>
      <c r="K111" s="85">
        <v>31.2</v>
      </c>
      <c r="L111" s="85">
        <v>99.9</v>
      </c>
      <c r="M111" s="85">
        <v>66.599999999999994</v>
      </c>
      <c r="N111" s="85">
        <v>117.5</v>
      </c>
      <c r="O111" s="85">
        <f t="shared" si="30"/>
        <v>101</v>
      </c>
      <c r="P111" s="85">
        <f t="shared" si="26"/>
        <v>67.3</v>
      </c>
      <c r="Q111" s="85">
        <f t="shared" si="27"/>
        <v>119</v>
      </c>
      <c r="R111" s="50">
        <f t="shared" si="31"/>
        <v>0</v>
      </c>
      <c r="S111" s="70">
        <f t="shared" si="32"/>
        <v>0</v>
      </c>
      <c r="T111" s="70">
        <f t="shared" si="33"/>
        <v>0</v>
      </c>
      <c r="U111" s="70">
        <f t="shared" si="34"/>
        <v>0</v>
      </c>
      <c r="V111" s="70">
        <f t="shared" si="35"/>
        <v>0</v>
      </c>
      <c r="W111" s="70">
        <f t="shared" si="36"/>
        <v>0</v>
      </c>
      <c r="X111" s="345">
        <f t="shared" si="37"/>
        <v>0</v>
      </c>
      <c r="Y111" s="345">
        <f t="shared" si="38"/>
        <v>0</v>
      </c>
      <c r="Z111" s="85"/>
      <c r="AA111" s="85">
        <v>0.5</v>
      </c>
      <c r="AB111" s="85">
        <v>0</v>
      </c>
      <c r="AC111" s="86">
        <f t="shared" si="28"/>
        <v>0</v>
      </c>
      <c r="AD111" s="86">
        <f t="shared" si="29"/>
        <v>0</v>
      </c>
    </row>
    <row r="112" spans="1:30" ht="31.5" x14ac:dyDescent="0.25">
      <c r="A112" s="85" t="s">
        <v>0</v>
      </c>
      <c r="B112" s="85" t="s">
        <v>1</v>
      </c>
      <c r="C112" s="85" t="s">
        <v>121</v>
      </c>
      <c r="D112" s="111"/>
      <c r="E112" s="111"/>
      <c r="F112" s="85">
        <v>180</v>
      </c>
      <c r="G112" s="85"/>
      <c r="H112" s="85"/>
      <c r="I112" s="85"/>
      <c r="J112" s="85"/>
      <c r="K112" s="85">
        <v>31.6</v>
      </c>
      <c r="L112" s="85">
        <v>101</v>
      </c>
      <c r="M112" s="85">
        <v>67.3</v>
      </c>
      <c r="N112" s="85">
        <v>119</v>
      </c>
      <c r="O112" s="85">
        <f t="shared" si="30"/>
        <v>101</v>
      </c>
      <c r="P112" s="85">
        <f t="shared" si="26"/>
        <v>67.3</v>
      </c>
      <c r="Q112" s="85">
        <f t="shared" si="27"/>
        <v>119</v>
      </c>
      <c r="R112" s="50">
        <f t="shared" si="31"/>
        <v>0</v>
      </c>
      <c r="S112" s="70">
        <f t="shared" si="32"/>
        <v>0</v>
      </c>
      <c r="T112" s="70">
        <f t="shared" si="33"/>
        <v>0</v>
      </c>
      <c r="U112" s="70">
        <f t="shared" si="34"/>
        <v>0</v>
      </c>
      <c r="V112" s="70">
        <f t="shared" si="35"/>
        <v>0</v>
      </c>
      <c r="W112" s="70">
        <f t="shared" si="36"/>
        <v>0</v>
      </c>
      <c r="X112" s="345">
        <f t="shared" si="37"/>
        <v>0</v>
      </c>
      <c r="Y112" s="345">
        <f t="shared" si="38"/>
        <v>0</v>
      </c>
      <c r="Z112" s="85"/>
      <c r="AA112" s="85">
        <v>0.5</v>
      </c>
      <c r="AB112" s="85">
        <v>0</v>
      </c>
      <c r="AC112" s="86">
        <f t="shared" si="28"/>
        <v>0</v>
      </c>
      <c r="AD112" s="86">
        <f t="shared" si="29"/>
        <v>0</v>
      </c>
    </row>
    <row r="113" spans="1:30" x14ac:dyDescent="0.25">
      <c r="A113" s="85" t="s">
        <v>17</v>
      </c>
      <c r="B113" s="85" t="s">
        <v>17</v>
      </c>
      <c r="C113" s="85" t="s">
        <v>18</v>
      </c>
      <c r="D113" s="111"/>
      <c r="E113" s="111"/>
      <c r="F113" s="85">
        <v>250</v>
      </c>
      <c r="G113" s="85">
        <v>0.4</v>
      </c>
      <c r="H113" s="85">
        <v>0.3</v>
      </c>
      <c r="I113" s="85">
        <v>0.2</v>
      </c>
      <c r="J113" s="85">
        <v>1.5</v>
      </c>
      <c r="K113" s="85">
        <v>31.2</v>
      </c>
      <c r="L113" s="85">
        <v>109.7</v>
      </c>
      <c r="M113" s="85">
        <v>73.099999999999994</v>
      </c>
      <c r="N113" s="85">
        <v>117.5</v>
      </c>
      <c r="O113" s="85">
        <f t="shared" si="30"/>
        <v>110</v>
      </c>
      <c r="P113" s="85">
        <f t="shared" si="26"/>
        <v>73.3</v>
      </c>
      <c r="Q113" s="85">
        <f t="shared" si="27"/>
        <v>119</v>
      </c>
      <c r="R113" s="50">
        <f t="shared" si="31"/>
        <v>0</v>
      </c>
      <c r="S113" s="70">
        <f t="shared" si="32"/>
        <v>0</v>
      </c>
      <c r="T113" s="70">
        <f t="shared" si="33"/>
        <v>0</v>
      </c>
      <c r="U113" s="70">
        <f t="shared" si="34"/>
        <v>0</v>
      </c>
      <c r="V113" s="70">
        <f t="shared" si="35"/>
        <v>0</v>
      </c>
      <c r="W113" s="70">
        <f t="shared" si="36"/>
        <v>0</v>
      </c>
      <c r="X113" s="345">
        <f t="shared" si="37"/>
        <v>0</v>
      </c>
      <c r="Y113" s="345">
        <f t="shared" si="38"/>
        <v>0</v>
      </c>
      <c r="Z113" s="85"/>
      <c r="AA113" s="85">
        <v>0.3</v>
      </c>
      <c r="AB113" s="85">
        <v>0</v>
      </c>
      <c r="AC113" s="86">
        <f t="shared" si="28"/>
        <v>0</v>
      </c>
      <c r="AD113" s="86">
        <f t="shared" si="29"/>
        <v>0</v>
      </c>
    </row>
    <row r="114" spans="1:30" x14ac:dyDescent="0.25">
      <c r="A114" s="85" t="s">
        <v>17</v>
      </c>
      <c r="B114" s="85" t="s">
        <v>17</v>
      </c>
      <c r="C114" s="85" t="s">
        <v>122</v>
      </c>
      <c r="D114" s="111"/>
      <c r="E114" s="111"/>
      <c r="F114" s="85">
        <v>250</v>
      </c>
      <c r="G114" s="85"/>
      <c r="H114" s="85"/>
      <c r="I114" s="85"/>
      <c r="J114" s="85"/>
      <c r="K114" s="85">
        <v>31.6</v>
      </c>
      <c r="L114" s="85">
        <v>110</v>
      </c>
      <c r="M114" s="85">
        <v>73.3</v>
      </c>
      <c r="N114" s="85">
        <v>119</v>
      </c>
      <c r="O114" s="85">
        <f t="shared" si="30"/>
        <v>110</v>
      </c>
      <c r="P114" s="85">
        <f t="shared" si="26"/>
        <v>73.3</v>
      </c>
      <c r="Q114" s="85">
        <f t="shared" si="27"/>
        <v>119</v>
      </c>
      <c r="R114" s="50">
        <f t="shared" si="31"/>
        <v>0</v>
      </c>
      <c r="S114" s="70">
        <f t="shared" si="32"/>
        <v>0</v>
      </c>
      <c r="T114" s="70">
        <f t="shared" si="33"/>
        <v>0</v>
      </c>
      <c r="U114" s="70">
        <f t="shared" si="34"/>
        <v>0</v>
      </c>
      <c r="V114" s="70">
        <f t="shared" si="35"/>
        <v>0</v>
      </c>
      <c r="W114" s="70">
        <f t="shared" si="36"/>
        <v>0</v>
      </c>
      <c r="X114" s="345">
        <f t="shared" si="37"/>
        <v>0</v>
      </c>
      <c r="Y114" s="345">
        <f t="shared" si="38"/>
        <v>0</v>
      </c>
      <c r="Z114" s="85"/>
      <c r="AA114" s="85">
        <v>0.3</v>
      </c>
      <c r="AB114" s="85">
        <v>0</v>
      </c>
      <c r="AC114" s="86">
        <f t="shared" si="28"/>
        <v>0</v>
      </c>
      <c r="AD114" s="86">
        <f t="shared" si="29"/>
        <v>0</v>
      </c>
    </row>
    <row r="115" spans="1:30" x14ac:dyDescent="0.25">
      <c r="A115" s="85" t="s">
        <v>17</v>
      </c>
      <c r="B115" s="85" t="s">
        <v>17</v>
      </c>
      <c r="C115" s="85" t="s">
        <v>19</v>
      </c>
      <c r="D115" s="111"/>
      <c r="E115" s="111"/>
      <c r="F115" s="85">
        <v>250</v>
      </c>
      <c r="G115" s="85">
        <v>37</v>
      </c>
      <c r="H115" s="85">
        <v>110</v>
      </c>
      <c r="I115" s="85">
        <v>73.3</v>
      </c>
      <c r="J115" s="85">
        <v>119</v>
      </c>
      <c r="K115" s="85"/>
      <c r="L115" s="85"/>
      <c r="M115" s="85"/>
      <c r="N115" s="85"/>
      <c r="O115" s="85">
        <f t="shared" si="30"/>
        <v>110</v>
      </c>
      <c r="P115" s="85">
        <f t="shared" si="26"/>
        <v>73.3</v>
      </c>
      <c r="Q115" s="85">
        <f t="shared" si="27"/>
        <v>119</v>
      </c>
      <c r="R115" s="50">
        <f t="shared" si="31"/>
        <v>0</v>
      </c>
      <c r="S115" s="70">
        <f t="shared" si="32"/>
        <v>0</v>
      </c>
      <c r="T115" s="70">
        <f t="shared" si="33"/>
        <v>0</v>
      </c>
      <c r="U115" s="70">
        <f t="shared" si="34"/>
        <v>0</v>
      </c>
      <c r="V115" s="70">
        <f t="shared" si="35"/>
        <v>0</v>
      </c>
      <c r="W115" s="70">
        <f t="shared" si="36"/>
        <v>0</v>
      </c>
      <c r="X115" s="345">
        <f t="shared" si="37"/>
        <v>0</v>
      </c>
      <c r="Y115" s="345">
        <f t="shared" si="38"/>
        <v>0</v>
      </c>
      <c r="Z115" s="85"/>
      <c r="AA115" s="85">
        <v>0.3</v>
      </c>
      <c r="AB115" s="85">
        <v>0</v>
      </c>
      <c r="AC115" s="86">
        <f t="shared" si="28"/>
        <v>0</v>
      </c>
      <c r="AD115" s="86">
        <f t="shared" si="29"/>
        <v>0</v>
      </c>
    </row>
    <row r="116" spans="1:30" customFormat="1" ht="16.899999999999999" customHeight="1" x14ac:dyDescent="0.25">
      <c r="A116" s="74" t="s">
        <v>264</v>
      </c>
      <c r="B116" s="88"/>
      <c r="C116" s="88"/>
      <c r="D116" s="134">
        <f>SUM(D8:D115)</f>
        <v>0</v>
      </c>
      <c r="E116" s="92"/>
      <c r="F116" s="88"/>
      <c r="G116" s="88"/>
      <c r="H116" s="88"/>
      <c r="I116" s="88"/>
      <c r="J116" s="88"/>
      <c r="K116" s="88"/>
      <c r="L116" s="88"/>
      <c r="M116" s="88"/>
      <c r="N116" s="88"/>
      <c r="O116" s="80"/>
      <c r="P116" s="80"/>
      <c r="Q116" s="80"/>
      <c r="R116" s="135">
        <f>SUM(R8:R115)</f>
        <v>0</v>
      </c>
      <c r="S116" s="135">
        <f t="shared" ref="S116:AD116" si="39">SUM(S8:S115)</f>
        <v>0</v>
      </c>
      <c r="T116" s="135">
        <f t="shared" si="39"/>
        <v>0</v>
      </c>
      <c r="U116" s="135">
        <f t="shared" si="39"/>
        <v>0</v>
      </c>
      <c r="V116" s="135">
        <f t="shared" si="39"/>
        <v>0</v>
      </c>
      <c r="W116" s="135">
        <f t="shared" si="39"/>
        <v>0</v>
      </c>
      <c r="X116" s="135">
        <f t="shared" si="39"/>
        <v>0</v>
      </c>
      <c r="Y116" s="135">
        <f t="shared" si="39"/>
        <v>0</v>
      </c>
      <c r="Z116" s="135">
        <f t="shared" si="39"/>
        <v>0</v>
      </c>
      <c r="AA116" s="135">
        <f t="shared" si="39"/>
        <v>37.800000000000026</v>
      </c>
      <c r="AB116" s="135">
        <f t="shared" si="39"/>
        <v>0</v>
      </c>
      <c r="AC116" s="135">
        <f t="shared" si="39"/>
        <v>0</v>
      </c>
      <c r="AD116" s="135">
        <f t="shared" si="39"/>
        <v>0</v>
      </c>
    </row>
    <row r="117" spans="1:30" x14ac:dyDescent="0.25">
      <c r="U117" s="336"/>
    </row>
  </sheetData>
  <sheetProtection sheet="1"/>
  <phoneticPr fontId="7" type="noConversion"/>
  <pageMargins left="0.27559055118110237" right="0.23622047244094491" top="0.51181102362204722" bottom="0.6692913385826772" header="0.43307086614173229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E24"/>
  <sheetViews>
    <sheetView workbookViewId="0">
      <selection activeCell="B9" sqref="B9"/>
    </sheetView>
  </sheetViews>
  <sheetFormatPr defaultRowHeight="15" x14ac:dyDescent="0.25"/>
  <cols>
    <col min="1" max="1" width="10.140625" customWidth="1"/>
    <col min="2" max="2" width="49.7109375" customWidth="1"/>
    <col min="3" max="3" width="16.140625" customWidth="1"/>
    <col min="4" max="4" width="29.7109375" customWidth="1"/>
    <col min="5" max="5" width="24.85546875" customWidth="1"/>
    <col min="6" max="6" width="10.140625" customWidth="1"/>
  </cols>
  <sheetData>
    <row r="1" spans="1:5" x14ac:dyDescent="0.25">
      <c r="A1" s="9" t="s">
        <v>166</v>
      </c>
    </row>
    <row r="2" spans="1:5" x14ac:dyDescent="0.25">
      <c r="A2" s="4" t="s">
        <v>156</v>
      </c>
    </row>
    <row r="3" spans="1:5" x14ac:dyDescent="0.25">
      <c r="A3" s="4"/>
    </row>
    <row r="4" spans="1:5" ht="15.75" x14ac:dyDescent="0.25">
      <c r="A4" s="174" t="s">
        <v>286</v>
      </c>
      <c r="B4" s="178">
        <f>Quadro_Riassuntivo!E9</f>
        <v>0</v>
      </c>
    </row>
    <row r="5" spans="1:5" ht="15.75" x14ac:dyDescent="0.25">
      <c r="A5" s="174" t="s">
        <v>287</v>
      </c>
      <c r="B5" s="175">
        <f>Quadro_Riassuntivo!E11</f>
        <v>0</v>
      </c>
    </row>
    <row r="6" spans="1:5" x14ac:dyDescent="0.25">
      <c r="A6" s="8"/>
    </row>
    <row r="7" spans="1:5" ht="16.5" thickBot="1" x14ac:dyDescent="0.3">
      <c r="A7" s="174" t="s">
        <v>167</v>
      </c>
    </row>
    <row r="8" spans="1:5" ht="75" x14ac:dyDescent="0.25">
      <c r="A8" s="173" t="s">
        <v>154</v>
      </c>
      <c r="B8" s="61" t="s">
        <v>168</v>
      </c>
      <c r="C8" s="62" t="s">
        <v>160</v>
      </c>
      <c r="D8" s="93" t="s">
        <v>271</v>
      </c>
      <c r="E8" s="94" t="s">
        <v>269</v>
      </c>
    </row>
    <row r="9" spans="1:5" x14ac:dyDescent="0.25">
      <c r="A9" s="38">
        <v>1</v>
      </c>
      <c r="B9" s="58"/>
      <c r="C9" s="59"/>
      <c r="D9" s="59"/>
      <c r="E9" s="105">
        <f t="shared" ref="E9:E23" si="0">D9/1000*C9</f>
        <v>0</v>
      </c>
    </row>
    <row r="10" spans="1:5" x14ac:dyDescent="0.25">
      <c r="A10" s="38">
        <v>2</v>
      </c>
      <c r="B10" s="58"/>
      <c r="C10" s="59"/>
      <c r="D10" s="59"/>
      <c r="E10" s="105">
        <f t="shared" si="0"/>
        <v>0</v>
      </c>
    </row>
    <row r="11" spans="1:5" x14ac:dyDescent="0.25">
      <c r="A11" s="38">
        <v>3</v>
      </c>
      <c r="B11" s="58"/>
      <c r="C11" s="59"/>
      <c r="D11" s="59"/>
      <c r="E11" s="105">
        <f t="shared" si="0"/>
        <v>0</v>
      </c>
    </row>
    <row r="12" spans="1:5" x14ac:dyDescent="0.25">
      <c r="A12" s="38">
        <v>4</v>
      </c>
      <c r="B12" s="58"/>
      <c r="C12" s="59"/>
      <c r="D12" s="59"/>
      <c r="E12" s="105">
        <f t="shared" si="0"/>
        <v>0</v>
      </c>
    </row>
    <row r="13" spans="1:5" x14ac:dyDescent="0.25">
      <c r="A13" s="38">
        <v>5</v>
      </c>
      <c r="B13" s="58"/>
      <c r="C13" s="59"/>
      <c r="D13" s="59"/>
      <c r="E13" s="105">
        <f t="shared" si="0"/>
        <v>0</v>
      </c>
    </row>
    <row r="14" spans="1:5" x14ac:dyDescent="0.25">
      <c r="A14" s="38">
        <v>6</v>
      </c>
      <c r="B14" s="58"/>
      <c r="C14" s="59"/>
      <c r="D14" s="59"/>
      <c r="E14" s="105">
        <f t="shared" si="0"/>
        <v>0</v>
      </c>
    </row>
    <row r="15" spans="1:5" x14ac:dyDescent="0.25">
      <c r="A15" s="38">
        <v>7</v>
      </c>
      <c r="B15" s="58"/>
      <c r="C15" s="59"/>
      <c r="D15" s="59"/>
      <c r="E15" s="105">
        <f t="shared" si="0"/>
        <v>0</v>
      </c>
    </row>
    <row r="16" spans="1:5" x14ac:dyDescent="0.25">
      <c r="A16" s="38">
        <v>8</v>
      </c>
      <c r="B16" s="58"/>
      <c r="C16" s="59"/>
      <c r="D16" s="59"/>
      <c r="E16" s="105">
        <f t="shared" si="0"/>
        <v>0</v>
      </c>
    </row>
    <row r="17" spans="1:5" x14ac:dyDescent="0.25">
      <c r="A17" s="38">
        <v>9</v>
      </c>
      <c r="B17" s="58"/>
      <c r="C17" s="59"/>
      <c r="D17" s="59"/>
      <c r="E17" s="105">
        <f t="shared" si="0"/>
        <v>0</v>
      </c>
    </row>
    <row r="18" spans="1:5" x14ac:dyDescent="0.25">
      <c r="A18" s="38">
        <v>10</v>
      </c>
      <c r="B18" s="58"/>
      <c r="C18" s="59"/>
      <c r="D18" s="59"/>
      <c r="E18" s="105">
        <f t="shared" si="0"/>
        <v>0</v>
      </c>
    </row>
    <row r="19" spans="1:5" x14ac:dyDescent="0.25">
      <c r="A19" s="38">
        <v>11</v>
      </c>
      <c r="B19" s="58"/>
      <c r="C19" s="59"/>
      <c r="D19" s="59"/>
      <c r="E19" s="105">
        <f t="shared" si="0"/>
        <v>0</v>
      </c>
    </row>
    <row r="20" spans="1:5" x14ac:dyDescent="0.25">
      <c r="A20" s="38">
        <v>12</v>
      </c>
      <c r="B20" s="58"/>
      <c r="C20" s="59"/>
      <c r="D20" s="59"/>
      <c r="E20" s="105">
        <f t="shared" si="0"/>
        <v>0</v>
      </c>
    </row>
    <row r="21" spans="1:5" x14ac:dyDescent="0.25">
      <c r="A21" s="38">
        <v>13</v>
      </c>
      <c r="B21" s="58"/>
      <c r="C21" s="59"/>
      <c r="D21" s="59"/>
      <c r="E21" s="105">
        <f t="shared" si="0"/>
        <v>0</v>
      </c>
    </row>
    <row r="22" spans="1:5" x14ac:dyDescent="0.25">
      <c r="A22" s="38">
        <v>14</v>
      </c>
      <c r="B22" s="58"/>
      <c r="C22" s="59"/>
      <c r="D22" s="59"/>
      <c r="E22" s="105">
        <f t="shared" si="0"/>
        <v>0</v>
      </c>
    </row>
    <row r="23" spans="1:5" x14ac:dyDescent="0.25">
      <c r="A23" s="38">
        <v>15</v>
      </c>
      <c r="B23" s="58"/>
      <c r="C23" s="59"/>
      <c r="D23" s="59"/>
      <c r="E23" s="105">
        <f t="shared" si="0"/>
        <v>0</v>
      </c>
    </row>
    <row r="24" spans="1:5" ht="15.75" thickBot="1" x14ac:dyDescent="0.3">
      <c r="A24" s="63"/>
      <c r="B24" s="64" t="s">
        <v>144</v>
      </c>
      <c r="C24" s="106">
        <f>SUM(C9:C23)</f>
        <v>0</v>
      </c>
      <c r="D24" s="106"/>
      <c r="E24" s="107">
        <f>SUM(E9:E23)</f>
        <v>0</v>
      </c>
    </row>
  </sheetData>
  <sheetProtection sheet="1" objects="1" scenarios="1"/>
  <phoneticPr fontId="7" type="noConversion"/>
  <pageMargins left="0.56000000000000005" right="0.68" top="0.9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2"/>
  <sheetViews>
    <sheetView zoomScaleNormal="100" workbookViewId="0">
      <selection activeCell="B9" sqref="B9"/>
    </sheetView>
  </sheetViews>
  <sheetFormatPr defaultColWidth="9.85546875" defaultRowHeight="15" x14ac:dyDescent="0.25"/>
  <cols>
    <col min="1" max="1" width="3.28515625" customWidth="1"/>
    <col min="2" max="2" width="24.5703125" customWidth="1"/>
    <col min="3" max="3" width="17" customWidth="1"/>
    <col min="4" max="4" width="19.5703125" style="358" customWidth="1"/>
    <col min="5" max="5" width="18.42578125" style="358" bestFit="1" customWidth="1"/>
    <col min="6" max="6" width="19.42578125" style="358" bestFit="1" customWidth="1"/>
    <col min="7" max="7" width="16.7109375" style="358" bestFit="1" customWidth="1"/>
    <col min="8" max="8" width="12.7109375" bestFit="1" customWidth="1"/>
    <col min="9" max="9" width="14.5703125" bestFit="1" customWidth="1"/>
    <col min="10" max="10" width="12.5703125" customWidth="1"/>
    <col min="11" max="11" width="14.85546875" bestFit="1" customWidth="1"/>
    <col min="12" max="12" width="11.5703125" bestFit="1" customWidth="1"/>
    <col min="13" max="13" width="12.7109375" customWidth="1"/>
    <col min="14" max="14" width="12.5703125" customWidth="1"/>
    <col min="15" max="15" width="12.85546875" customWidth="1"/>
    <col min="16" max="16" width="13.28515625" bestFit="1" customWidth="1"/>
    <col min="17" max="17" width="12" customWidth="1"/>
    <col min="18" max="18" width="11.5703125" customWidth="1"/>
  </cols>
  <sheetData>
    <row r="1" spans="1:15" x14ac:dyDescent="0.25">
      <c r="A1" s="141" t="s">
        <v>350</v>
      </c>
      <c r="B1" s="66"/>
      <c r="C1" s="66"/>
      <c r="D1" s="250"/>
      <c r="E1" s="250"/>
      <c r="F1" s="250"/>
      <c r="G1" s="250"/>
      <c r="H1" s="66"/>
      <c r="I1" s="66"/>
      <c r="J1" s="66"/>
      <c r="K1" s="66"/>
    </row>
    <row r="2" spans="1:15" x14ac:dyDescent="0.25">
      <c r="A2" s="142" t="s">
        <v>156</v>
      </c>
      <c r="B2" s="66"/>
      <c r="C2" s="66"/>
      <c r="D2" s="250"/>
      <c r="E2" s="250"/>
      <c r="F2" s="250"/>
      <c r="G2" s="250"/>
      <c r="H2" s="66"/>
      <c r="I2" s="66"/>
      <c r="J2" s="66"/>
      <c r="K2" s="66"/>
    </row>
    <row r="3" spans="1:15" x14ac:dyDescent="0.25">
      <c r="A3" s="143"/>
      <c r="B3" s="66"/>
      <c r="C3" s="66"/>
      <c r="D3" s="250"/>
      <c r="E3" s="250"/>
      <c r="F3" s="250"/>
      <c r="G3" s="250"/>
      <c r="H3" s="66"/>
      <c r="I3" s="66"/>
      <c r="J3" s="66"/>
      <c r="K3" s="66"/>
    </row>
    <row r="4" spans="1:15" ht="15.75" x14ac:dyDescent="0.25">
      <c r="A4" s="66"/>
      <c r="B4" s="174" t="s">
        <v>286</v>
      </c>
      <c r="C4" s="176">
        <f>Quadro_Riassuntivo!E9</f>
        <v>0</v>
      </c>
      <c r="E4" s="251"/>
      <c r="F4" s="251"/>
      <c r="G4" s="251"/>
      <c r="H4" s="66"/>
      <c r="I4" s="66"/>
      <c r="J4" s="66"/>
      <c r="K4" s="66"/>
    </row>
    <row r="5" spans="1:15" ht="15.75" x14ac:dyDescent="0.25">
      <c r="A5" s="66"/>
      <c r="B5" s="174" t="s">
        <v>287</v>
      </c>
      <c r="C5" s="274">
        <f>Quadro_Riassuntivo!E11</f>
        <v>0</v>
      </c>
      <c r="E5" s="252"/>
      <c r="F5" s="252"/>
      <c r="G5" s="252"/>
      <c r="H5" s="66"/>
      <c r="I5" s="66"/>
      <c r="J5" s="66"/>
      <c r="K5" s="66"/>
    </row>
    <row r="6" spans="1:15" x14ac:dyDescent="0.25">
      <c r="A6" s="143"/>
      <c r="B6" s="164"/>
      <c r="C6" s="66"/>
      <c r="D6" s="250"/>
      <c r="E6" s="250"/>
      <c r="F6" s="250"/>
      <c r="G6" s="250"/>
      <c r="H6" s="66"/>
      <c r="I6" s="66"/>
      <c r="J6" s="66"/>
      <c r="K6" s="66"/>
    </row>
    <row r="7" spans="1:15" ht="19.5" thickBot="1" x14ac:dyDescent="0.35">
      <c r="A7" s="249" t="s">
        <v>426</v>
      </c>
      <c r="B7" s="66"/>
      <c r="C7" s="66"/>
      <c r="D7" s="250"/>
      <c r="E7" s="250"/>
      <c r="F7" s="250"/>
      <c r="G7" s="250"/>
      <c r="H7" s="66"/>
      <c r="I7" s="66"/>
      <c r="J7" s="66"/>
      <c r="K7" s="66"/>
    </row>
    <row r="8" spans="1:15" ht="99.75" x14ac:dyDescent="0.25">
      <c r="A8" s="356" t="s">
        <v>270</v>
      </c>
      <c r="B8" s="389" t="s">
        <v>451</v>
      </c>
      <c r="C8" s="146" t="s">
        <v>359</v>
      </c>
      <c r="D8" s="411" t="s">
        <v>434</v>
      </c>
      <c r="E8" s="146" t="s">
        <v>346</v>
      </c>
      <c r="F8" s="146" t="s">
        <v>407</v>
      </c>
      <c r="G8" s="395" t="s">
        <v>408</v>
      </c>
      <c r="H8" s="299" t="s">
        <v>357</v>
      </c>
      <c r="I8" s="248" t="s">
        <v>358</v>
      </c>
      <c r="J8" s="248" t="s">
        <v>365</v>
      </c>
      <c r="K8" s="271" t="s">
        <v>366</v>
      </c>
      <c r="L8" s="363" t="s">
        <v>427</v>
      </c>
      <c r="M8" s="364"/>
      <c r="N8" s="364"/>
      <c r="O8" s="364"/>
    </row>
    <row r="9" spans="1:15" x14ac:dyDescent="0.25">
      <c r="A9" s="393">
        <v>1</v>
      </c>
      <c r="B9" s="390"/>
      <c r="C9" s="253"/>
      <c r="D9" s="365"/>
      <c r="E9" s="253"/>
      <c r="F9" s="253"/>
      <c r="G9" s="396"/>
      <c r="H9" s="399">
        <f>IF(C9="LIQUIDO",E9,0)</f>
        <v>0</v>
      </c>
      <c r="I9" s="255">
        <f>IF(C9="SOLIDO",E9,0)</f>
        <v>0</v>
      </c>
      <c r="J9" s="255">
        <f>IF(C9="LIQUIDO", F9,0)</f>
        <v>0</v>
      </c>
      <c r="K9" s="272">
        <f>IF(C9="SOLIDO",F9,0)</f>
        <v>0</v>
      </c>
      <c r="L9" s="366">
        <f>H9*D9</f>
        <v>0</v>
      </c>
      <c r="M9" s="103"/>
      <c r="N9" s="103"/>
      <c r="O9" s="103"/>
    </row>
    <row r="10" spans="1:15" x14ac:dyDescent="0.25">
      <c r="A10" s="393">
        <v>2</v>
      </c>
      <c r="B10" s="390"/>
      <c r="C10" s="253"/>
      <c r="D10" s="365"/>
      <c r="E10" s="253"/>
      <c r="F10" s="253"/>
      <c r="G10" s="396"/>
      <c r="H10" s="399">
        <f t="shared" ref="H10:H23" si="0">IF(C10="LIQUIDO",E10,0)</f>
        <v>0</v>
      </c>
      <c r="I10" s="255">
        <f t="shared" ref="I10:I23" si="1">IF(C10="SOLIDO",E10,0)</f>
        <v>0</v>
      </c>
      <c r="J10" s="255">
        <f t="shared" ref="J10:J23" si="2">IF(C10="LIQUIDO", F10,0)</f>
        <v>0</v>
      </c>
      <c r="K10" s="272">
        <f t="shared" ref="K10:K23" si="3">IF(C10="SOLIDO",F10,0)</f>
        <v>0</v>
      </c>
      <c r="L10" s="366">
        <f t="shared" ref="L10:L23" si="4">H10*D10</f>
        <v>0</v>
      </c>
      <c r="M10" s="103"/>
      <c r="N10" s="103"/>
      <c r="O10" s="103"/>
    </row>
    <row r="11" spans="1:15" x14ac:dyDescent="0.25">
      <c r="A11" s="393">
        <v>3</v>
      </c>
      <c r="B11" s="390"/>
      <c r="C11" s="253"/>
      <c r="D11" s="365"/>
      <c r="E11" s="253"/>
      <c r="F11" s="253"/>
      <c r="G11" s="396"/>
      <c r="H11" s="399">
        <f t="shared" si="0"/>
        <v>0</v>
      </c>
      <c r="I11" s="255">
        <f t="shared" si="1"/>
        <v>0</v>
      </c>
      <c r="J11" s="255">
        <f t="shared" si="2"/>
        <v>0</v>
      </c>
      <c r="K11" s="272">
        <f t="shared" si="3"/>
        <v>0</v>
      </c>
      <c r="L11" s="366">
        <f t="shared" si="4"/>
        <v>0</v>
      </c>
      <c r="M11" s="103"/>
      <c r="N11" s="103"/>
      <c r="O11" s="103"/>
    </row>
    <row r="12" spans="1:15" x14ac:dyDescent="0.25">
      <c r="A12" s="393">
        <v>4</v>
      </c>
      <c r="B12" s="390"/>
      <c r="C12" s="253"/>
      <c r="D12" s="365"/>
      <c r="E12" s="253"/>
      <c r="F12" s="253"/>
      <c r="G12" s="396"/>
      <c r="H12" s="399">
        <f t="shared" si="0"/>
        <v>0</v>
      </c>
      <c r="I12" s="255">
        <f t="shared" si="1"/>
        <v>0</v>
      </c>
      <c r="J12" s="255">
        <f t="shared" si="2"/>
        <v>0</v>
      </c>
      <c r="K12" s="272">
        <f t="shared" si="3"/>
        <v>0</v>
      </c>
      <c r="L12" s="366">
        <f t="shared" si="4"/>
        <v>0</v>
      </c>
      <c r="M12" s="103"/>
      <c r="N12" s="103"/>
      <c r="O12" s="103"/>
    </row>
    <row r="13" spans="1:15" x14ac:dyDescent="0.25">
      <c r="A13" s="393">
        <v>5</v>
      </c>
      <c r="B13" s="390"/>
      <c r="C13" s="253"/>
      <c r="D13" s="365"/>
      <c r="E13" s="253"/>
      <c r="F13" s="253"/>
      <c r="G13" s="396"/>
      <c r="H13" s="399">
        <f t="shared" si="0"/>
        <v>0</v>
      </c>
      <c r="I13" s="255">
        <f t="shared" si="1"/>
        <v>0</v>
      </c>
      <c r="J13" s="255">
        <f t="shared" si="2"/>
        <v>0</v>
      </c>
      <c r="K13" s="272">
        <f t="shared" si="3"/>
        <v>0</v>
      </c>
      <c r="L13" s="366">
        <f t="shared" si="4"/>
        <v>0</v>
      </c>
      <c r="M13" s="103"/>
      <c r="N13" s="103"/>
      <c r="O13" s="103"/>
    </row>
    <row r="14" spans="1:15" x14ac:dyDescent="0.25">
      <c r="A14" s="393">
        <v>6</v>
      </c>
      <c r="B14" s="390"/>
      <c r="C14" s="253"/>
      <c r="D14" s="365"/>
      <c r="E14" s="253"/>
      <c r="F14" s="253"/>
      <c r="G14" s="396"/>
      <c r="H14" s="399">
        <f t="shared" si="0"/>
        <v>0</v>
      </c>
      <c r="I14" s="255">
        <f t="shared" si="1"/>
        <v>0</v>
      </c>
      <c r="J14" s="255">
        <f t="shared" si="2"/>
        <v>0</v>
      </c>
      <c r="K14" s="272">
        <f t="shared" si="3"/>
        <v>0</v>
      </c>
      <c r="L14" s="366">
        <f t="shared" si="4"/>
        <v>0</v>
      </c>
      <c r="M14" s="103"/>
      <c r="N14" s="103"/>
      <c r="O14" s="103"/>
    </row>
    <row r="15" spans="1:15" x14ac:dyDescent="0.25">
      <c r="A15" s="393">
        <v>7</v>
      </c>
      <c r="B15" s="390"/>
      <c r="C15" s="253"/>
      <c r="D15" s="365"/>
      <c r="E15" s="253"/>
      <c r="F15" s="253"/>
      <c r="G15" s="396"/>
      <c r="H15" s="399">
        <f t="shared" si="0"/>
        <v>0</v>
      </c>
      <c r="I15" s="255">
        <f t="shared" si="1"/>
        <v>0</v>
      </c>
      <c r="J15" s="255">
        <f t="shared" si="2"/>
        <v>0</v>
      </c>
      <c r="K15" s="272">
        <f t="shared" si="3"/>
        <v>0</v>
      </c>
      <c r="L15" s="366">
        <f t="shared" si="4"/>
        <v>0</v>
      </c>
      <c r="M15" s="103"/>
      <c r="N15" s="103"/>
      <c r="O15" s="103"/>
    </row>
    <row r="16" spans="1:15" x14ac:dyDescent="0.25">
      <c r="A16" s="393">
        <v>8</v>
      </c>
      <c r="B16" s="390"/>
      <c r="C16" s="253"/>
      <c r="D16" s="365"/>
      <c r="E16" s="253"/>
      <c r="F16" s="253"/>
      <c r="G16" s="396"/>
      <c r="H16" s="399">
        <f t="shared" si="0"/>
        <v>0</v>
      </c>
      <c r="I16" s="255">
        <f t="shared" si="1"/>
        <v>0</v>
      </c>
      <c r="J16" s="255">
        <f t="shared" si="2"/>
        <v>0</v>
      </c>
      <c r="K16" s="272">
        <f t="shared" si="3"/>
        <v>0</v>
      </c>
      <c r="L16" s="366">
        <f t="shared" si="4"/>
        <v>0</v>
      </c>
      <c r="M16" s="103"/>
      <c r="N16" s="103"/>
      <c r="O16" s="103"/>
    </row>
    <row r="17" spans="1:18" x14ac:dyDescent="0.25">
      <c r="A17" s="393">
        <v>9</v>
      </c>
      <c r="B17" s="390"/>
      <c r="C17" s="253"/>
      <c r="D17" s="365"/>
      <c r="E17" s="253"/>
      <c r="F17" s="253"/>
      <c r="G17" s="396"/>
      <c r="H17" s="399">
        <f t="shared" si="0"/>
        <v>0</v>
      </c>
      <c r="I17" s="255">
        <f t="shared" si="1"/>
        <v>0</v>
      </c>
      <c r="J17" s="255">
        <f t="shared" si="2"/>
        <v>0</v>
      </c>
      <c r="K17" s="272">
        <f t="shared" si="3"/>
        <v>0</v>
      </c>
      <c r="L17" s="366">
        <f t="shared" si="4"/>
        <v>0</v>
      </c>
      <c r="M17" s="103"/>
      <c r="N17" s="103"/>
      <c r="O17" s="103"/>
    </row>
    <row r="18" spans="1:18" x14ac:dyDescent="0.25">
      <c r="A18" s="393">
        <v>10</v>
      </c>
      <c r="B18" s="390"/>
      <c r="C18" s="253"/>
      <c r="D18" s="365"/>
      <c r="E18" s="253"/>
      <c r="F18" s="253"/>
      <c r="G18" s="396"/>
      <c r="H18" s="399">
        <f t="shared" si="0"/>
        <v>0</v>
      </c>
      <c r="I18" s="255">
        <f t="shared" si="1"/>
        <v>0</v>
      </c>
      <c r="J18" s="255">
        <f t="shared" si="2"/>
        <v>0</v>
      </c>
      <c r="K18" s="272">
        <f t="shared" si="3"/>
        <v>0</v>
      </c>
      <c r="L18" s="366">
        <f t="shared" si="4"/>
        <v>0</v>
      </c>
      <c r="M18" s="103"/>
      <c r="N18" s="103"/>
      <c r="O18" s="103"/>
    </row>
    <row r="19" spans="1:18" x14ac:dyDescent="0.25">
      <c r="A19" s="393">
        <v>11</v>
      </c>
      <c r="B19" s="390"/>
      <c r="C19" s="253"/>
      <c r="D19" s="365"/>
      <c r="E19" s="253"/>
      <c r="F19" s="253"/>
      <c r="G19" s="396"/>
      <c r="H19" s="399">
        <f t="shared" si="0"/>
        <v>0</v>
      </c>
      <c r="I19" s="255">
        <f t="shared" si="1"/>
        <v>0</v>
      </c>
      <c r="J19" s="255">
        <f t="shared" si="2"/>
        <v>0</v>
      </c>
      <c r="K19" s="272">
        <f t="shared" si="3"/>
        <v>0</v>
      </c>
      <c r="L19" s="366">
        <f t="shared" si="4"/>
        <v>0</v>
      </c>
      <c r="M19" s="103"/>
      <c r="N19" s="103"/>
      <c r="O19" s="103"/>
    </row>
    <row r="20" spans="1:18" x14ac:dyDescent="0.25">
      <c r="A20" s="393">
        <v>12</v>
      </c>
      <c r="B20" s="390"/>
      <c r="C20" s="253"/>
      <c r="D20" s="365"/>
      <c r="E20" s="253"/>
      <c r="F20" s="253"/>
      <c r="G20" s="396"/>
      <c r="H20" s="399">
        <f t="shared" si="0"/>
        <v>0</v>
      </c>
      <c r="I20" s="255">
        <f t="shared" si="1"/>
        <v>0</v>
      </c>
      <c r="J20" s="255">
        <f t="shared" si="2"/>
        <v>0</v>
      </c>
      <c r="K20" s="272">
        <f t="shared" si="3"/>
        <v>0</v>
      </c>
      <c r="L20" s="366">
        <f t="shared" si="4"/>
        <v>0</v>
      </c>
      <c r="M20" s="103"/>
      <c r="N20" s="103"/>
      <c r="O20" s="103"/>
    </row>
    <row r="21" spans="1:18" x14ac:dyDescent="0.25">
      <c r="A21" s="393">
        <v>13</v>
      </c>
      <c r="B21" s="391"/>
      <c r="C21" s="325"/>
      <c r="D21" s="367"/>
      <c r="E21" s="325"/>
      <c r="F21" s="325"/>
      <c r="G21" s="397"/>
      <c r="H21" s="399">
        <f t="shared" si="0"/>
        <v>0</v>
      </c>
      <c r="I21" s="255">
        <f t="shared" si="1"/>
        <v>0</v>
      </c>
      <c r="J21" s="255">
        <f t="shared" si="2"/>
        <v>0</v>
      </c>
      <c r="K21" s="272">
        <f t="shared" si="3"/>
        <v>0</v>
      </c>
      <c r="L21" s="366">
        <f t="shared" si="4"/>
        <v>0</v>
      </c>
      <c r="M21" s="103"/>
      <c r="N21" s="103"/>
      <c r="O21" s="103"/>
    </row>
    <row r="22" spans="1:18" x14ac:dyDescent="0.25">
      <c r="A22" s="393">
        <v>14</v>
      </c>
      <c r="B22" s="391"/>
      <c r="C22" s="325"/>
      <c r="D22" s="367"/>
      <c r="E22" s="325"/>
      <c r="F22" s="325"/>
      <c r="G22" s="397"/>
      <c r="H22" s="399">
        <f t="shared" si="0"/>
        <v>0</v>
      </c>
      <c r="I22" s="255">
        <f t="shared" si="1"/>
        <v>0</v>
      </c>
      <c r="J22" s="255">
        <f t="shared" si="2"/>
        <v>0</v>
      </c>
      <c r="K22" s="272">
        <f t="shared" si="3"/>
        <v>0</v>
      </c>
      <c r="L22" s="366">
        <f t="shared" si="4"/>
        <v>0</v>
      </c>
      <c r="M22" s="103"/>
      <c r="N22" s="103"/>
      <c r="O22" s="103"/>
    </row>
    <row r="23" spans="1:18" x14ac:dyDescent="0.25">
      <c r="A23" s="393">
        <v>15</v>
      </c>
      <c r="B23" s="391"/>
      <c r="C23" s="325"/>
      <c r="D23" s="367"/>
      <c r="E23" s="325"/>
      <c r="F23" s="325"/>
      <c r="G23" s="397"/>
      <c r="H23" s="399">
        <f t="shared" si="0"/>
        <v>0</v>
      </c>
      <c r="I23" s="255">
        <f t="shared" si="1"/>
        <v>0</v>
      </c>
      <c r="J23" s="255">
        <f t="shared" si="2"/>
        <v>0</v>
      </c>
      <c r="K23" s="272">
        <f t="shared" si="3"/>
        <v>0</v>
      </c>
      <c r="L23" s="366">
        <f t="shared" si="4"/>
        <v>0</v>
      </c>
      <c r="M23" s="103"/>
      <c r="N23" s="103"/>
      <c r="O23" s="103"/>
    </row>
    <row r="24" spans="1:18" ht="15.75" thickBot="1" x14ac:dyDescent="0.3">
      <c r="A24" s="394"/>
      <c r="B24" s="392" t="s">
        <v>144</v>
      </c>
      <c r="C24" s="368"/>
      <c r="D24" s="369">
        <f>IF(H24=0,0,L24/H24)</f>
        <v>0</v>
      </c>
      <c r="E24" s="370">
        <f>SUM(E9:E23)</f>
        <v>0</v>
      </c>
      <c r="F24" s="370">
        <f t="shared" ref="F24:L24" si="5">SUM(F9:F23)</f>
        <v>0</v>
      </c>
      <c r="G24" s="398">
        <f t="shared" si="5"/>
        <v>0</v>
      </c>
      <c r="H24" s="400">
        <f t="shared" si="5"/>
        <v>0</v>
      </c>
      <c r="I24" s="370">
        <f t="shared" si="5"/>
        <v>0</v>
      </c>
      <c r="J24" s="370">
        <f t="shared" si="5"/>
        <v>0</v>
      </c>
      <c r="K24" s="273">
        <f t="shared" si="5"/>
        <v>0</v>
      </c>
      <c r="L24" s="371">
        <f t="shared" si="5"/>
        <v>0</v>
      </c>
      <c r="M24" s="372"/>
      <c r="N24" s="372"/>
      <c r="O24" s="372"/>
    </row>
    <row r="25" spans="1:18" ht="76.5" customHeight="1" x14ac:dyDescent="0.25">
      <c r="A25" s="589" t="s">
        <v>428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3"/>
      <c r="L25" s="514"/>
      <c r="O25" s="281"/>
      <c r="P25" s="281"/>
      <c r="Q25" s="281"/>
      <c r="R25" s="281"/>
    </row>
    <row r="26" spans="1:18" x14ac:dyDescent="0.25">
      <c r="A26" s="66"/>
      <c r="B26" s="66"/>
      <c r="C26" s="66"/>
      <c r="D26" s="250"/>
      <c r="E26" s="250"/>
      <c r="F26" s="250"/>
      <c r="G26" s="373"/>
      <c r="H26" s="302"/>
      <c r="I26" s="302"/>
      <c r="J26" s="302"/>
      <c r="K26" s="302"/>
      <c r="O26" s="281"/>
      <c r="P26" s="281"/>
      <c r="Q26" s="281"/>
      <c r="R26" s="281"/>
    </row>
    <row r="27" spans="1:18" ht="19.5" thickBot="1" x14ac:dyDescent="0.35">
      <c r="A27" s="249" t="s">
        <v>429</v>
      </c>
      <c r="B27" s="66"/>
      <c r="C27" s="66"/>
      <c r="D27" s="250"/>
      <c r="E27" s="250"/>
      <c r="F27" s="250"/>
      <c r="G27" s="250"/>
      <c r="H27" s="66"/>
      <c r="I27" s="66"/>
      <c r="J27" s="66"/>
      <c r="K27" s="66"/>
    </row>
    <row r="28" spans="1:18" ht="75" x14ac:dyDescent="0.25">
      <c r="A28" s="356" t="s">
        <v>270</v>
      </c>
      <c r="B28" s="389" t="s">
        <v>451</v>
      </c>
      <c r="C28" s="146" t="s">
        <v>359</v>
      </c>
      <c r="D28" s="146" t="s">
        <v>346</v>
      </c>
      <c r="E28" s="146" t="s">
        <v>407</v>
      </c>
      <c r="F28" s="395" t="s">
        <v>408</v>
      </c>
      <c r="G28" s="299" t="s">
        <v>396</v>
      </c>
      <c r="H28" s="248" t="s">
        <v>397</v>
      </c>
      <c r="I28" s="248" t="s">
        <v>398</v>
      </c>
      <c r="J28" s="271" t="s">
        <v>399</v>
      </c>
    </row>
    <row r="29" spans="1:18" x14ac:dyDescent="0.25">
      <c r="A29" s="393">
        <v>1</v>
      </c>
      <c r="B29" s="390"/>
      <c r="C29" s="253"/>
      <c r="D29" s="253"/>
      <c r="E29" s="253"/>
      <c r="F29" s="396"/>
      <c r="G29" s="224">
        <f>IF(C29="LIQUIDO",D29,0)</f>
        <v>0</v>
      </c>
      <c r="H29" s="55">
        <f>IF(C29="SOLIDO",D29,0)</f>
        <v>0</v>
      </c>
      <c r="I29" s="55">
        <f>IF(C29="LIQUIDO",E29,0)</f>
        <v>0</v>
      </c>
      <c r="J29" s="56">
        <f>IF(C29="SOLIDO",E29,0)</f>
        <v>0</v>
      </c>
    </row>
    <row r="30" spans="1:18" x14ac:dyDescent="0.25">
      <c r="A30" s="393">
        <v>2</v>
      </c>
      <c r="B30" s="390"/>
      <c r="C30" s="253"/>
      <c r="D30" s="253"/>
      <c r="E30" s="253"/>
      <c r="F30" s="396"/>
      <c r="G30" s="224">
        <f t="shared" ref="G30:G43" si="6">IF(C30="LIQUIDO",D30,0)</f>
        <v>0</v>
      </c>
      <c r="H30" s="55">
        <f t="shared" ref="H30:H43" si="7">IF(C30="SOLIDO",D30,0)</f>
        <v>0</v>
      </c>
      <c r="I30" s="55">
        <f t="shared" ref="I30:I43" si="8">IF(C30="LIQUIDO",E30,0)</f>
        <v>0</v>
      </c>
      <c r="J30" s="56">
        <f t="shared" ref="J30:J43" si="9">IF(C30="SOLIDO",E30,0)</f>
        <v>0</v>
      </c>
    </row>
    <row r="31" spans="1:18" x14ac:dyDescent="0.25">
      <c r="A31" s="393">
        <v>3</v>
      </c>
      <c r="B31" s="390"/>
      <c r="C31" s="253"/>
      <c r="D31" s="253"/>
      <c r="E31" s="253"/>
      <c r="F31" s="396"/>
      <c r="G31" s="224">
        <f t="shared" si="6"/>
        <v>0</v>
      </c>
      <c r="H31" s="55">
        <f t="shared" si="7"/>
        <v>0</v>
      </c>
      <c r="I31" s="55">
        <f t="shared" si="8"/>
        <v>0</v>
      </c>
      <c r="J31" s="56">
        <f t="shared" si="9"/>
        <v>0</v>
      </c>
    </row>
    <row r="32" spans="1:18" x14ac:dyDescent="0.25">
      <c r="A32" s="393">
        <v>4</v>
      </c>
      <c r="B32" s="390"/>
      <c r="C32" s="253"/>
      <c r="D32" s="253"/>
      <c r="E32" s="253"/>
      <c r="F32" s="396"/>
      <c r="G32" s="224">
        <f t="shared" si="6"/>
        <v>0</v>
      </c>
      <c r="H32" s="55">
        <f t="shared" si="7"/>
        <v>0</v>
      </c>
      <c r="I32" s="55">
        <f t="shared" si="8"/>
        <v>0</v>
      </c>
      <c r="J32" s="56">
        <f t="shared" si="9"/>
        <v>0</v>
      </c>
    </row>
    <row r="33" spans="1:18" x14ac:dyDescent="0.25">
      <c r="A33" s="393">
        <v>5</v>
      </c>
      <c r="B33" s="390"/>
      <c r="C33" s="253"/>
      <c r="D33" s="253"/>
      <c r="E33" s="253"/>
      <c r="F33" s="396"/>
      <c r="G33" s="224">
        <f t="shared" si="6"/>
        <v>0</v>
      </c>
      <c r="H33" s="55">
        <f t="shared" si="7"/>
        <v>0</v>
      </c>
      <c r="I33" s="55">
        <f t="shared" si="8"/>
        <v>0</v>
      </c>
      <c r="J33" s="56">
        <f t="shared" si="9"/>
        <v>0</v>
      </c>
    </row>
    <row r="34" spans="1:18" x14ac:dyDescent="0.25">
      <c r="A34" s="393">
        <v>6</v>
      </c>
      <c r="B34" s="390"/>
      <c r="C34" s="253"/>
      <c r="D34" s="253"/>
      <c r="E34" s="253"/>
      <c r="F34" s="396"/>
      <c r="G34" s="224">
        <f t="shared" si="6"/>
        <v>0</v>
      </c>
      <c r="H34" s="55">
        <f t="shared" si="7"/>
        <v>0</v>
      </c>
      <c r="I34" s="55">
        <f t="shared" si="8"/>
        <v>0</v>
      </c>
      <c r="J34" s="56">
        <f t="shared" si="9"/>
        <v>0</v>
      </c>
    </row>
    <row r="35" spans="1:18" x14ac:dyDescent="0.25">
      <c r="A35" s="393">
        <v>7</v>
      </c>
      <c r="B35" s="390"/>
      <c r="C35" s="253"/>
      <c r="D35" s="253"/>
      <c r="E35" s="253"/>
      <c r="F35" s="396"/>
      <c r="G35" s="224">
        <f t="shared" si="6"/>
        <v>0</v>
      </c>
      <c r="H35" s="55">
        <f t="shared" si="7"/>
        <v>0</v>
      </c>
      <c r="I35" s="55">
        <f t="shared" si="8"/>
        <v>0</v>
      </c>
      <c r="J35" s="56">
        <f t="shared" si="9"/>
        <v>0</v>
      </c>
    </row>
    <row r="36" spans="1:18" x14ac:dyDescent="0.25">
      <c r="A36" s="393">
        <v>8</v>
      </c>
      <c r="B36" s="390"/>
      <c r="C36" s="253"/>
      <c r="D36" s="253"/>
      <c r="E36" s="253"/>
      <c r="F36" s="396"/>
      <c r="G36" s="224">
        <f t="shared" si="6"/>
        <v>0</v>
      </c>
      <c r="H36" s="55">
        <f t="shared" si="7"/>
        <v>0</v>
      </c>
      <c r="I36" s="55">
        <f t="shared" si="8"/>
        <v>0</v>
      </c>
      <c r="J36" s="56">
        <f t="shared" si="9"/>
        <v>0</v>
      </c>
    </row>
    <row r="37" spans="1:18" x14ac:dyDescent="0.25">
      <c r="A37" s="393">
        <v>9</v>
      </c>
      <c r="B37" s="390"/>
      <c r="C37" s="253"/>
      <c r="D37" s="253"/>
      <c r="E37" s="253"/>
      <c r="F37" s="396"/>
      <c r="G37" s="224">
        <f t="shared" si="6"/>
        <v>0</v>
      </c>
      <c r="H37" s="55">
        <f t="shared" si="7"/>
        <v>0</v>
      </c>
      <c r="I37" s="55">
        <f t="shared" si="8"/>
        <v>0</v>
      </c>
      <c r="J37" s="56">
        <f t="shared" si="9"/>
        <v>0</v>
      </c>
    </row>
    <row r="38" spans="1:18" x14ac:dyDescent="0.25">
      <c r="A38" s="393">
        <v>10</v>
      </c>
      <c r="B38" s="390"/>
      <c r="C38" s="253"/>
      <c r="D38" s="253"/>
      <c r="E38" s="253"/>
      <c r="F38" s="396"/>
      <c r="G38" s="224">
        <f t="shared" si="6"/>
        <v>0</v>
      </c>
      <c r="H38" s="55">
        <f t="shared" si="7"/>
        <v>0</v>
      </c>
      <c r="I38" s="55">
        <f t="shared" si="8"/>
        <v>0</v>
      </c>
      <c r="J38" s="56">
        <f t="shared" si="9"/>
        <v>0</v>
      </c>
    </row>
    <row r="39" spans="1:18" x14ac:dyDescent="0.25">
      <c r="A39" s="393">
        <v>11</v>
      </c>
      <c r="B39" s="390"/>
      <c r="C39" s="253"/>
      <c r="D39" s="253"/>
      <c r="E39" s="253"/>
      <c r="F39" s="396"/>
      <c r="G39" s="224">
        <f t="shared" si="6"/>
        <v>0</v>
      </c>
      <c r="H39" s="55">
        <f t="shared" si="7"/>
        <v>0</v>
      </c>
      <c r="I39" s="55">
        <f t="shared" si="8"/>
        <v>0</v>
      </c>
      <c r="J39" s="56">
        <f t="shared" si="9"/>
        <v>0</v>
      </c>
    </row>
    <row r="40" spans="1:18" x14ac:dyDescent="0.25">
      <c r="A40" s="393">
        <v>12</v>
      </c>
      <c r="B40" s="390"/>
      <c r="C40" s="253"/>
      <c r="D40" s="253"/>
      <c r="E40" s="253"/>
      <c r="F40" s="396"/>
      <c r="G40" s="224">
        <f t="shared" si="6"/>
        <v>0</v>
      </c>
      <c r="H40" s="55">
        <f t="shared" si="7"/>
        <v>0</v>
      </c>
      <c r="I40" s="55">
        <f t="shared" si="8"/>
        <v>0</v>
      </c>
      <c r="J40" s="56">
        <f t="shared" si="9"/>
        <v>0</v>
      </c>
    </row>
    <row r="41" spans="1:18" x14ac:dyDescent="0.25">
      <c r="A41" s="393">
        <v>13</v>
      </c>
      <c r="B41" s="391"/>
      <c r="C41" s="325"/>
      <c r="D41" s="325"/>
      <c r="E41" s="325"/>
      <c r="F41" s="397"/>
      <c r="G41" s="224">
        <f t="shared" si="6"/>
        <v>0</v>
      </c>
      <c r="H41" s="55">
        <f t="shared" si="7"/>
        <v>0</v>
      </c>
      <c r="I41" s="55">
        <f t="shared" si="8"/>
        <v>0</v>
      </c>
      <c r="J41" s="56">
        <f t="shared" si="9"/>
        <v>0</v>
      </c>
    </row>
    <row r="42" spans="1:18" x14ac:dyDescent="0.25">
      <c r="A42" s="393">
        <v>14</v>
      </c>
      <c r="B42" s="391"/>
      <c r="C42" s="325"/>
      <c r="D42" s="325"/>
      <c r="E42" s="325"/>
      <c r="F42" s="397"/>
      <c r="G42" s="224">
        <f t="shared" si="6"/>
        <v>0</v>
      </c>
      <c r="H42" s="55">
        <f t="shared" si="7"/>
        <v>0</v>
      </c>
      <c r="I42" s="55">
        <f t="shared" si="8"/>
        <v>0</v>
      </c>
      <c r="J42" s="56">
        <f t="shared" si="9"/>
        <v>0</v>
      </c>
    </row>
    <row r="43" spans="1:18" x14ac:dyDescent="0.25">
      <c r="A43" s="393">
        <v>15</v>
      </c>
      <c r="B43" s="391"/>
      <c r="C43" s="325"/>
      <c r="D43" s="325"/>
      <c r="E43" s="325"/>
      <c r="F43" s="397"/>
      <c r="G43" s="224">
        <f t="shared" si="6"/>
        <v>0</v>
      </c>
      <c r="H43" s="55">
        <f t="shared" si="7"/>
        <v>0</v>
      </c>
      <c r="I43" s="55">
        <f t="shared" si="8"/>
        <v>0</v>
      </c>
      <c r="J43" s="56">
        <f t="shared" si="9"/>
        <v>0</v>
      </c>
    </row>
    <row r="44" spans="1:18" ht="15.75" thickBot="1" x14ac:dyDescent="0.3">
      <c r="A44" s="394"/>
      <c r="B44" s="392" t="s">
        <v>144</v>
      </c>
      <c r="C44" s="368"/>
      <c r="D44" s="370">
        <f t="shared" ref="D44:J44" si="10">SUM(D29:D43)</f>
        <v>0</v>
      </c>
      <c r="E44" s="370">
        <f t="shared" si="10"/>
        <v>0</v>
      </c>
      <c r="F44" s="398">
        <f t="shared" si="10"/>
        <v>0</v>
      </c>
      <c r="G44" s="400">
        <f t="shared" si="10"/>
        <v>0</v>
      </c>
      <c r="H44" s="370">
        <f t="shared" si="10"/>
        <v>0</v>
      </c>
      <c r="I44" s="370">
        <f t="shared" si="10"/>
        <v>0</v>
      </c>
      <c r="J44" s="273">
        <f t="shared" si="10"/>
        <v>0</v>
      </c>
    </row>
    <row r="45" spans="1:18" x14ac:dyDescent="0.25">
      <c r="A45" s="374"/>
      <c r="B45" s="375"/>
      <c r="C45" s="376"/>
      <c r="D45" s="377"/>
      <c r="E45" s="377"/>
      <c r="F45" s="377"/>
      <c r="G45" s="377"/>
      <c r="H45" s="377"/>
      <c r="I45" s="377"/>
      <c r="J45" s="377"/>
    </row>
    <row r="46" spans="1:18" ht="19.5" thickBot="1" x14ac:dyDescent="0.35">
      <c r="A46" s="249" t="s">
        <v>349</v>
      </c>
      <c r="B46" s="66"/>
      <c r="C46" s="66"/>
      <c r="D46" s="250"/>
      <c r="E46" s="250"/>
      <c r="F46" s="250"/>
      <c r="G46" s="250"/>
      <c r="H46" s="302"/>
      <c r="I46" s="302"/>
      <c r="J46" s="302"/>
      <c r="K46" s="302"/>
      <c r="O46" s="281"/>
      <c r="P46" s="281"/>
      <c r="Q46" s="281"/>
      <c r="R46" s="281"/>
    </row>
    <row r="47" spans="1:18" ht="75" x14ac:dyDescent="0.25">
      <c r="A47" s="356" t="s">
        <v>270</v>
      </c>
      <c r="B47" s="389" t="s">
        <v>456</v>
      </c>
      <c r="C47" s="146" t="s">
        <v>359</v>
      </c>
      <c r="D47" s="146" t="s">
        <v>352</v>
      </c>
      <c r="E47" s="146" t="s">
        <v>353</v>
      </c>
      <c r="F47" s="303" t="s">
        <v>346</v>
      </c>
      <c r="G47" s="303" t="s">
        <v>347</v>
      </c>
      <c r="H47" s="395" t="s">
        <v>408</v>
      </c>
      <c r="I47" s="299" t="s">
        <v>357</v>
      </c>
      <c r="J47" s="248" t="s">
        <v>358</v>
      </c>
      <c r="K47" s="248" t="s">
        <v>365</v>
      </c>
      <c r="L47" s="271" t="s">
        <v>366</v>
      </c>
      <c r="M47" s="403" t="s">
        <v>396</v>
      </c>
      <c r="N47" s="300" t="s">
        <v>397</v>
      </c>
      <c r="O47" s="300" t="s">
        <v>398</v>
      </c>
      <c r="P47" s="301" t="s">
        <v>399</v>
      </c>
    </row>
    <row r="48" spans="1:18" x14ac:dyDescent="0.25">
      <c r="A48" s="393">
        <v>1</v>
      </c>
      <c r="B48" s="390"/>
      <c r="C48" s="253"/>
      <c r="D48" s="254"/>
      <c r="E48" s="254"/>
      <c r="F48" s="253"/>
      <c r="G48" s="253"/>
      <c r="H48" s="396"/>
      <c r="I48" s="399">
        <f t="shared" ref="I48:I62" si="11">IF(C48="LIQUIDO", IF(D48="SI",F48,0),0)</f>
        <v>0</v>
      </c>
      <c r="J48" s="255">
        <f t="shared" ref="J48:J62" si="12">IF(C48="SOLIDO",IF(D48="SI",F48,0),0)</f>
        <v>0</v>
      </c>
      <c r="K48" s="255">
        <f t="shared" ref="K48:K62" si="13">IF(C48="LIQUIDO", IF(D48="SI",G48,0),0)</f>
        <v>0</v>
      </c>
      <c r="L48" s="272">
        <f t="shared" ref="L48:L62" si="14">IF(C48="SOLIDO",IF(D48="SI",G48,0),0)</f>
        <v>0</v>
      </c>
      <c r="M48" s="409">
        <f t="shared" ref="M48:M62" si="15">IF(C48="LIQUIDO",IF(E48="SI",F48,0),0)</f>
        <v>0</v>
      </c>
      <c r="N48" s="55">
        <f t="shared" ref="N48:N62" si="16">IF(C48="SOLIDO",IF(E48="SI",F48,0),0)</f>
        <v>0</v>
      </c>
      <c r="O48" s="55">
        <f t="shared" ref="O48:O62" si="17">IF(C48="LIQUIDO",IF(E48="SI",G48,0),0)</f>
        <v>0</v>
      </c>
      <c r="P48" s="56">
        <f t="shared" ref="P48:P62" si="18">IF(C48="SOLIDO",IF(E48="SI",G48,0),0)</f>
        <v>0</v>
      </c>
    </row>
    <row r="49" spans="1:16" x14ac:dyDescent="0.25">
      <c r="A49" s="393">
        <v>2</v>
      </c>
      <c r="B49" s="390"/>
      <c r="C49" s="253"/>
      <c r="D49" s="254"/>
      <c r="E49" s="254"/>
      <c r="F49" s="253"/>
      <c r="G49" s="253"/>
      <c r="H49" s="396"/>
      <c r="I49" s="399">
        <f t="shared" si="11"/>
        <v>0</v>
      </c>
      <c r="J49" s="255">
        <f t="shared" si="12"/>
        <v>0</v>
      </c>
      <c r="K49" s="255">
        <f t="shared" si="13"/>
        <v>0</v>
      </c>
      <c r="L49" s="272">
        <f t="shared" si="14"/>
        <v>0</v>
      </c>
      <c r="M49" s="409">
        <f t="shared" si="15"/>
        <v>0</v>
      </c>
      <c r="N49" s="55">
        <f t="shared" si="16"/>
        <v>0</v>
      </c>
      <c r="O49" s="55">
        <f t="shared" si="17"/>
        <v>0</v>
      </c>
      <c r="P49" s="56">
        <f t="shared" si="18"/>
        <v>0</v>
      </c>
    </row>
    <row r="50" spans="1:16" x14ac:dyDescent="0.25">
      <c r="A50" s="393">
        <v>3</v>
      </c>
      <c r="B50" s="390"/>
      <c r="C50" s="253"/>
      <c r="D50" s="254"/>
      <c r="E50" s="254"/>
      <c r="F50" s="253"/>
      <c r="G50" s="253"/>
      <c r="H50" s="396"/>
      <c r="I50" s="399">
        <f t="shared" si="11"/>
        <v>0</v>
      </c>
      <c r="J50" s="255">
        <f t="shared" si="12"/>
        <v>0</v>
      </c>
      <c r="K50" s="255">
        <f t="shared" si="13"/>
        <v>0</v>
      </c>
      <c r="L50" s="272">
        <f t="shared" si="14"/>
        <v>0</v>
      </c>
      <c r="M50" s="409">
        <f t="shared" si="15"/>
        <v>0</v>
      </c>
      <c r="N50" s="55">
        <f t="shared" si="16"/>
        <v>0</v>
      </c>
      <c r="O50" s="55">
        <f t="shared" si="17"/>
        <v>0</v>
      </c>
      <c r="P50" s="56">
        <f t="shared" si="18"/>
        <v>0</v>
      </c>
    </row>
    <row r="51" spans="1:16" x14ac:dyDescent="0.25">
      <c r="A51" s="393">
        <v>4</v>
      </c>
      <c r="B51" s="390"/>
      <c r="C51" s="253"/>
      <c r="D51" s="254"/>
      <c r="E51" s="254"/>
      <c r="F51" s="253"/>
      <c r="G51" s="253"/>
      <c r="H51" s="396"/>
      <c r="I51" s="399">
        <f t="shared" si="11"/>
        <v>0</v>
      </c>
      <c r="J51" s="255">
        <f t="shared" si="12"/>
        <v>0</v>
      </c>
      <c r="K51" s="255">
        <f t="shared" si="13"/>
        <v>0</v>
      </c>
      <c r="L51" s="272">
        <f t="shared" si="14"/>
        <v>0</v>
      </c>
      <c r="M51" s="409">
        <f t="shared" si="15"/>
        <v>0</v>
      </c>
      <c r="N51" s="55">
        <f t="shared" si="16"/>
        <v>0</v>
      </c>
      <c r="O51" s="55">
        <f t="shared" si="17"/>
        <v>0</v>
      </c>
      <c r="P51" s="56">
        <f t="shared" si="18"/>
        <v>0</v>
      </c>
    </row>
    <row r="52" spans="1:16" x14ac:dyDescent="0.25">
      <c r="A52" s="393">
        <v>5</v>
      </c>
      <c r="B52" s="390"/>
      <c r="C52" s="253"/>
      <c r="D52" s="254"/>
      <c r="E52" s="254"/>
      <c r="F52" s="253"/>
      <c r="G52" s="253"/>
      <c r="H52" s="396"/>
      <c r="I52" s="399">
        <f t="shared" si="11"/>
        <v>0</v>
      </c>
      <c r="J52" s="255">
        <f t="shared" si="12"/>
        <v>0</v>
      </c>
      <c r="K52" s="255">
        <f t="shared" si="13"/>
        <v>0</v>
      </c>
      <c r="L52" s="272">
        <f t="shared" si="14"/>
        <v>0</v>
      </c>
      <c r="M52" s="409">
        <f t="shared" si="15"/>
        <v>0</v>
      </c>
      <c r="N52" s="55">
        <f t="shared" si="16"/>
        <v>0</v>
      </c>
      <c r="O52" s="55">
        <f t="shared" si="17"/>
        <v>0</v>
      </c>
      <c r="P52" s="56">
        <f t="shared" si="18"/>
        <v>0</v>
      </c>
    </row>
    <row r="53" spans="1:16" x14ac:dyDescent="0.25">
      <c r="A53" s="393">
        <v>6</v>
      </c>
      <c r="B53" s="390"/>
      <c r="C53" s="253"/>
      <c r="D53" s="254"/>
      <c r="E53" s="254"/>
      <c r="F53" s="253"/>
      <c r="G53" s="253"/>
      <c r="H53" s="396"/>
      <c r="I53" s="399">
        <f t="shared" si="11"/>
        <v>0</v>
      </c>
      <c r="J53" s="255">
        <f t="shared" si="12"/>
        <v>0</v>
      </c>
      <c r="K53" s="255">
        <f t="shared" si="13"/>
        <v>0</v>
      </c>
      <c r="L53" s="272">
        <f t="shared" si="14"/>
        <v>0</v>
      </c>
      <c r="M53" s="409">
        <f t="shared" si="15"/>
        <v>0</v>
      </c>
      <c r="N53" s="55">
        <f t="shared" si="16"/>
        <v>0</v>
      </c>
      <c r="O53" s="55">
        <f t="shared" si="17"/>
        <v>0</v>
      </c>
      <c r="P53" s="56">
        <f t="shared" si="18"/>
        <v>0</v>
      </c>
    </row>
    <row r="54" spans="1:16" x14ac:dyDescent="0.25">
      <c r="A54" s="393">
        <v>7</v>
      </c>
      <c r="B54" s="390"/>
      <c r="C54" s="253"/>
      <c r="D54" s="254"/>
      <c r="E54" s="254"/>
      <c r="F54" s="253"/>
      <c r="G54" s="253"/>
      <c r="H54" s="396"/>
      <c r="I54" s="399">
        <f t="shared" si="11"/>
        <v>0</v>
      </c>
      <c r="J54" s="255">
        <f t="shared" si="12"/>
        <v>0</v>
      </c>
      <c r="K54" s="255">
        <f t="shared" si="13"/>
        <v>0</v>
      </c>
      <c r="L54" s="272">
        <f t="shared" si="14"/>
        <v>0</v>
      </c>
      <c r="M54" s="409">
        <f t="shared" si="15"/>
        <v>0</v>
      </c>
      <c r="N54" s="55">
        <f t="shared" si="16"/>
        <v>0</v>
      </c>
      <c r="O54" s="55">
        <f t="shared" si="17"/>
        <v>0</v>
      </c>
      <c r="P54" s="56">
        <f t="shared" si="18"/>
        <v>0</v>
      </c>
    </row>
    <row r="55" spans="1:16" x14ac:dyDescent="0.25">
      <c r="A55" s="393">
        <v>8</v>
      </c>
      <c r="B55" s="390"/>
      <c r="C55" s="253"/>
      <c r="D55" s="254"/>
      <c r="E55" s="254"/>
      <c r="F55" s="253"/>
      <c r="G55" s="253"/>
      <c r="H55" s="396"/>
      <c r="I55" s="399">
        <f t="shared" si="11"/>
        <v>0</v>
      </c>
      <c r="J55" s="255">
        <f t="shared" si="12"/>
        <v>0</v>
      </c>
      <c r="K55" s="255">
        <f t="shared" si="13"/>
        <v>0</v>
      </c>
      <c r="L55" s="272">
        <f t="shared" si="14"/>
        <v>0</v>
      </c>
      <c r="M55" s="409">
        <f t="shared" si="15"/>
        <v>0</v>
      </c>
      <c r="N55" s="55">
        <f t="shared" si="16"/>
        <v>0</v>
      </c>
      <c r="O55" s="55">
        <f t="shared" si="17"/>
        <v>0</v>
      </c>
      <c r="P55" s="56">
        <f t="shared" si="18"/>
        <v>0</v>
      </c>
    </row>
    <row r="56" spans="1:16" x14ac:dyDescent="0.25">
      <c r="A56" s="393">
        <v>9</v>
      </c>
      <c r="B56" s="390"/>
      <c r="C56" s="253"/>
      <c r="D56" s="254"/>
      <c r="E56" s="254"/>
      <c r="F56" s="253"/>
      <c r="G56" s="253"/>
      <c r="H56" s="396"/>
      <c r="I56" s="399">
        <f t="shared" si="11"/>
        <v>0</v>
      </c>
      <c r="J56" s="255">
        <f t="shared" si="12"/>
        <v>0</v>
      </c>
      <c r="K56" s="255">
        <f t="shared" si="13"/>
        <v>0</v>
      </c>
      <c r="L56" s="272">
        <f t="shared" si="14"/>
        <v>0</v>
      </c>
      <c r="M56" s="409">
        <f t="shared" si="15"/>
        <v>0</v>
      </c>
      <c r="N56" s="55">
        <f t="shared" si="16"/>
        <v>0</v>
      </c>
      <c r="O56" s="55">
        <f t="shared" si="17"/>
        <v>0</v>
      </c>
      <c r="P56" s="56">
        <f t="shared" si="18"/>
        <v>0</v>
      </c>
    </row>
    <row r="57" spans="1:16" x14ac:dyDescent="0.25">
      <c r="A57" s="393">
        <v>10</v>
      </c>
      <c r="B57" s="390"/>
      <c r="C57" s="253"/>
      <c r="D57" s="254"/>
      <c r="E57" s="254"/>
      <c r="F57" s="253"/>
      <c r="G57" s="253"/>
      <c r="H57" s="396"/>
      <c r="I57" s="399">
        <f t="shared" si="11"/>
        <v>0</v>
      </c>
      <c r="J57" s="255">
        <f t="shared" si="12"/>
        <v>0</v>
      </c>
      <c r="K57" s="255">
        <f t="shared" si="13"/>
        <v>0</v>
      </c>
      <c r="L57" s="272">
        <f t="shared" si="14"/>
        <v>0</v>
      </c>
      <c r="M57" s="409">
        <f t="shared" si="15"/>
        <v>0</v>
      </c>
      <c r="N57" s="55">
        <f t="shared" si="16"/>
        <v>0</v>
      </c>
      <c r="O57" s="55">
        <f t="shared" si="17"/>
        <v>0</v>
      </c>
      <c r="P57" s="56">
        <f t="shared" si="18"/>
        <v>0</v>
      </c>
    </row>
    <row r="58" spans="1:16" x14ac:dyDescent="0.25">
      <c r="A58" s="393">
        <v>11</v>
      </c>
      <c r="B58" s="390"/>
      <c r="C58" s="253"/>
      <c r="D58" s="254"/>
      <c r="E58" s="254"/>
      <c r="F58" s="253"/>
      <c r="G58" s="253"/>
      <c r="H58" s="396"/>
      <c r="I58" s="399">
        <f t="shared" si="11"/>
        <v>0</v>
      </c>
      <c r="J58" s="255">
        <f t="shared" si="12"/>
        <v>0</v>
      </c>
      <c r="K58" s="255">
        <f t="shared" si="13"/>
        <v>0</v>
      </c>
      <c r="L58" s="272">
        <f t="shared" si="14"/>
        <v>0</v>
      </c>
      <c r="M58" s="409">
        <f t="shared" si="15"/>
        <v>0</v>
      </c>
      <c r="N58" s="55">
        <f t="shared" si="16"/>
        <v>0</v>
      </c>
      <c r="O58" s="55">
        <f t="shared" si="17"/>
        <v>0</v>
      </c>
      <c r="P58" s="56">
        <f t="shared" si="18"/>
        <v>0</v>
      </c>
    </row>
    <row r="59" spans="1:16" x14ac:dyDescent="0.25">
      <c r="A59" s="393">
        <v>12</v>
      </c>
      <c r="B59" s="390"/>
      <c r="C59" s="253"/>
      <c r="D59" s="254"/>
      <c r="E59" s="254"/>
      <c r="F59" s="253"/>
      <c r="G59" s="253"/>
      <c r="H59" s="396"/>
      <c r="I59" s="399">
        <f t="shared" si="11"/>
        <v>0</v>
      </c>
      <c r="J59" s="255">
        <f t="shared" si="12"/>
        <v>0</v>
      </c>
      <c r="K59" s="255">
        <f t="shared" si="13"/>
        <v>0</v>
      </c>
      <c r="L59" s="272">
        <f t="shared" si="14"/>
        <v>0</v>
      </c>
      <c r="M59" s="409">
        <f t="shared" si="15"/>
        <v>0</v>
      </c>
      <c r="N59" s="55">
        <f t="shared" si="16"/>
        <v>0</v>
      </c>
      <c r="O59" s="55">
        <f t="shared" si="17"/>
        <v>0</v>
      </c>
      <c r="P59" s="56">
        <f t="shared" si="18"/>
        <v>0</v>
      </c>
    </row>
    <row r="60" spans="1:16" x14ac:dyDescent="0.25">
      <c r="A60" s="393">
        <v>13</v>
      </c>
      <c r="B60" s="391"/>
      <c r="C60" s="325"/>
      <c r="D60" s="326"/>
      <c r="E60" s="326"/>
      <c r="F60" s="325"/>
      <c r="G60" s="325"/>
      <c r="H60" s="396"/>
      <c r="I60" s="399">
        <f t="shared" si="11"/>
        <v>0</v>
      </c>
      <c r="J60" s="255">
        <f t="shared" si="12"/>
        <v>0</v>
      </c>
      <c r="K60" s="255">
        <f t="shared" si="13"/>
        <v>0</v>
      </c>
      <c r="L60" s="272">
        <f t="shared" si="14"/>
        <v>0</v>
      </c>
      <c r="M60" s="409">
        <f t="shared" si="15"/>
        <v>0</v>
      </c>
      <c r="N60" s="55">
        <f t="shared" si="16"/>
        <v>0</v>
      </c>
      <c r="O60" s="55">
        <f t="shared" si="17"/>
        <v>0</v>
      </c>
      <c r="P60" s="56">
        <f t="shared" si="18"/>
        <v>0</v>
      </c>
    </row>
    <row r="61" spans="1:16" x14ac:dyDescent="0.25">
      <c r="A61" s="393">
        <v>14</v>
      </c>
      <c r="B61" s="391"/>
      <c r="C61" s="325"/>
      <c r="D61" s="326"/>
      <c r="E61" s="326"/>
      <c r="F61" s="325"/>
      <c r="G61" s="325"/>
      <c r="H61" s="396"/>
      <c r="I61" s="399">
        <f t="shared" si="11"/>
        <v>0</v>
      </c>
      <c r="J61" s="255">
        <f t="shared" si="12"/>
        <v>0</v>
      </c>
      <c r="K61" s="255">
        <f t="shared" si="13"/>
        <v>0</v>
      </c>
      <c r="L61" s="272">
        <f t="shared" si="14"/>
        <v>0</v>
      </c>
      <c r="M61" s="409">
        <f t="shared" si="15"/>
        <v>0</v>
      </c>
      <c r="N61" s="55">
        <f t="shared" si="16"/>
        <v>0</v>
      </c>
      <c r="O61" s="55">
        <f t="shared" si="17"/>
        <v>0</v>
      </c>
      <c r="P61" s="56">
        <f t="shared" si="18"/>
        <v>0</v>
      </c>
    </row>
    <row r="62" spans="1:16" x14ac:dyDescent="0.25">
      <c r="A62" s="393">
        <v>15</v>
      </c>
      <c r="B62" s="391"/>
      <c r="C62" s="325"/>
      <c r="D62" s="326"/>
      <c r="E62" s="326"/>
      <c r="F62" s="325"/>
      <c r="G62" s="325"/>
      <c r="H62" s="396"/>
      <c r="I62" s="399">
        <f t="shared" si="11"/>
        <v>0</v>
      </c>
      <c r="J62" s="255">
        <f t="shared" si="12"/>
        <v>0</v>
      </c>
      <c r="K62" s="255">
        <f t="shared" si="13"/>
        <v>0</v>
      </c>
      <c r="L62" s="272">
        <f t="shared" si="14"/>
        <v>0</v>
      </c>
      <c r="M62" s="409">
        <f t="shared" si="15"/>
        <v>0</v>
      </c>
      <c r="N62" s="55">
        <f t="shared" si="16"/>
        <v>0</v>
      </c>
      <c r="O62" s="55">
        <f t="shared" si="17"/>
        <v>0</v>
      </c>
      <c r="P62" s="56">
        <f t="shared" si="18"/>
        <v>0</v>
      </c>
    </row>
    <row r="63" spans="1:16" s="257" customFormat="1" ht="15.75" thickBot="1" x14ac:dyDescent="0.3">
      <c r="A63" s="394"/>
      <c r="B63" s="392" t="s">
        <v>144</v>
      </c>
      <c r="C63" s="368"/>
      <c r="D63" s="378"/>
      <c r="E63" s="378"/>
      <c r="F63" s="370">
        <f>SUM(F48:F62)</f>
        <v>0</v>
      </c>
      <c r="G63" s="370">
        <f t="shared" ref="G63:P63" si="19">SUM(G48:G62)</f>
        <v>0</v>
      </c>
      <c r="H63" s="398">
        <f t="shared" si="19"/>
        <v>0</v>
      </c>
      <c r="I63" s="400">
        <f t="shared" si="19"/>
        <v>0</v>
      </c>
      <c r="J63" s="370">
        <f t="shared" si="19"/>
        <v>0</v>
      </c>
      <c r="K63" s="370">
        <f t="shared" si="19"/>
        <v>0</v>
      </c>
      <c r="L63" s="273">
        <f t="shared" si="19"/>
        <v>0</v>
      </c>
      <c r="M63" s="410">
        <f t="shared" si="19"/>
        <v>0</v>
      </c>
      <c r="N63" s="370">
        <f t="shared" si="19"/>
        <v>0</v>
      </c>
      <c r="O63" s="370">
        <f t="shared" si="19"/>
        <v>0</v>
      </c>
      <c r="P63" s="273">
        <f t="shared" si="19"/>
        <v>0</v>
      </c>
    </row>
    <row r="64" spans="1:16" x14ac:dyDescent="0.25">
      <c r="H64" s="281"/>
      <c r="I64" s="281"/>
      <c r="J64" s="281"/>
      <c r="K64" s="281"/>
    </row>
    <row r="65" spans="1:13" ht="19.5" thickBot="1" x14ac:dyDescent="0.35">
      <c r="A65" s="249" t="s">
        <v>405</v>
      </c>
      <c r="B65" s="66"/>
      <c r="C65" s="66"/>
      <c r="D65" s="250"/>
      <c r="E65" s="250"/>
      <c r="F65" s="250"/>
      <c r="G65" s="250"/>
      <c r="H65" s="302"/>
      <c r="I65" s="302"/>
      <c r="J65" s="302"/>
      <c r="K65" s="302"/>
    </row>
    <row r="66" spans="1:13" ht="75" x14ac:dyDescent="0.25">
      <c r="A66" s="356" t="s">
        <v>270</v>
      </c>
      <c r="B66" s="162" t="s">
        <v>452</v>
      </c>
      <c r="C66" s="146" t="s">
        <v>404</v>
      </c>
      <c r="D66" s="146" t="s">
        <v>354</v>
      </c>
      <c r="E66" s="146" t="s">
        <v>346</v>
      </c>
      <c r="F66" s="406" t="s">
        <v>347</v>
      </c>
      <c r="G66" s="403" t="s">
        <v>348</v>
      </c>
      <c r="H66" s="301" t="s">
        <v>365</v>
      </c>
    </row>
    <row r="67" spans="1:13" x14ac:dyDescent="0.25">
      <c r="A67" s="393">
        <v>1</v>
      </c>
      <c r="B67" s="331"/>
      <c r="C67" s="253"/>
      <c r="D67" s="254"/>
      <c r="E67" s="253"/>
      <c r="F67" s="407"/>
      <c r="G67" s="404">
        <f>E67</f>
        <v>0</v>
      </c>
      <c r="H67" s="272">
        <f>F67</f>
        <v>0</v>
      </c>
    </row>
    <row r="68" spans="1:13" x14ac:dyDescent="0.25">
      <c r="A68" s="393">
        <v>2</v>
      </c>
      <c r="B68" s="331"/>
      <c r="C68" s="253"/>
      <c r="D68" s="254"/>
      <c r="E68" s="253"/>
      <c r="F68" s="407"/>
      <c r="G68" s="404">
        <f t="shared" ref="G68:G81" si="20">E68</f>
        <v>0</v>
      </c>
      <c r="H68" s="272">
        <f t="shared" ref="H68:H81" si="21">F68</f>
        <v>0</v>
      </c>
    </row>
    <row r="69" spans="1:13" x14ac:dyDescent="0.25">
      <c r="A69" s="393">
        <v>3</v>
      </c>
      <c r="B69" s="331"/>
      <c r="C69" s="253"/>
      <c r="D69" s="254"/>
      <c r="E69" s="253"/>
      <c r="F69" s="407"/>
      <c r="G69" s="404">
        <f t="shared" si="20"/>
        <v>0</v>
      </c>
      <c r="H69" s="272">
        <f t="shared" si="21"/>
        <v>0</v>
      </c>
    </row>
    <row r="70" spans="1:13" x14ac:dyDescent="0.25">
      <c r="A70" s="393">
        <v>4</v>
      </c>
      <c r="B70" s="331"/>
      <c r="C70" s="253"/>
      <c r="D70" s="254"/>
      <c r="E70" s="253"/>
      <c r="F70" s="407"/>
      <c r="G70" s="404">
        <f t="shared" si="20"/>
        <v>0</v>
      </c>
      <c r="H70" s="272">
        <f t="shared" si="21"/>
        <v>0</v>
      </c>
    </row>
    <row r="71" spans="1:13" x14ac:dyDescent="0.25">
      <c r="A71" s="393">
        <v>5</v>
      </c>
      <c r="B71" s="331"/>
      <c r="C71" s="253"/>
      <c r="D71" s="254"/>
      <c r="E71" s="253"/>
      <c r="F71" s="407"/>
      <c r="G71" s="404">
        <f t="shared" si="20"/>
        <v>0</v>
      </c>
      <c r="H71" s="272">
        <f t="shared" si="21"/>
        <v>0</v>
      </c>
    </row>
    <row r="72" spans="1:13" x14ac:dyDescent="0.25">
      <c r="A72" s="393">
        <v>6</v>
      </c>
      <c r="B72" s="331"/>
      <c r="C72" s="253"/>
      <c r="D72" s="254"/>
      <c r="E72" s="253"/>
      <c r="F72" s="407"/>
      <c r="G72" s="404">
        <f t="shared" si="20"/>
        <v>0</v>
      </c>
      <c r="H72" s="272">
        <f t="shared" si="21"/>
        <v>0</v>
      </c>
    </row>
    <row r="73" spans="1:13" x14ac:dyDescent="0.25">
      <c r="A73" s="393">
        <v>7</v>
      </c>
      <c r="B73" s="331"/>
      <c r="C73" s="253"/>
      <c r="D73" s="254"/>
      <c r="E73" s="253"/>
      <c r="F73" s="407"/>
      <c r="G73" s="404">
        <f t="shared" si="20"/>
        <v>0</v>
      </c>
      <c r="H73" s="272">
        <f t="shared" si="21"/>
        <v>0</v>
      </c>
    </row>
    <row r="74" spans="1:13" x14ac:dyDescent="0.25">
      <c r="A74" s="393">
        <v>8</v>
      </c>
      <c r="B74" s="331"/>
      <c r="C74" s="253"/>
      <c r="D74" s="254"/>
      <c r="E74" s="253"/>
      <c r="F74" s="407"/>
      <c r="G74" s="404">
        <f t="shared" si="20"/>
        <v>0</v>
      </c>
      <c r="H74" s="272">
        <f t="shared" si="21"/>
        <v>0</v>
      </c>
    </row>
    <row r="75" spans="1:13" x14ac:dyDescent="0.25">
      <c r="A75" s="393">
        <v>9</v>
      </c>
      <c r="B75" s="331"/>
      <c r="C75" s="253"/>
      <c r="D75" s="254"/>
      <c r="E75" s="253"/>
      <c r="F75" s="407"/>
      <c r="G75" s="404">
        <f t="shared" si="20"/>
        <v>0</v>
      </c>
      <c r="H75" s="272">
        <f t="shared" si="21"/>
        <v>0</v>
      </c>
    </row>
    <row r="76" spans="1:13" x14ac:dyDescent="0.25">
      <c r="A76" s="393">
        <v>10</v>
      </c>
      <c r="B76" s="331"/>
      <c r="C76" s="253"/>
      <c r="D76" s="254"/>
      <c r="E76" s="253"/>
      <c r="F76" s="407"/>
      <c r="G76" s="404">
        <f t="shared" si="20"/>
        <v>0</v>
      </c>
      <c r="H76" s="272">
        <f t="shared" si="21"/>
        <v>0</v>
      </c>
    </row>
    <row r="77" spans="1:13" x14ac:dyDescent="0.25">
      <c r="A77" s="393">
        <v>11</v>
      </c>
      <c r="B77" s="331"/>
      <c r="C77" s="253"/>
      <c r="D77" s="254"/>
      <c r="E77" s="253"/>
      <c r="F77" s="407"/>
      <c r="G77" s="404">
        <f t="shared" si="20"/>
        <v>0</v>
      </c>
      <c r="H77" s="272">
        <f t="shared" si="21"/>
        <v>0</v>
      </c>
    </row>
    <row r="78" spans="1:13" x14ac:dyDescent="0.25">
      <c r="A78" s="393">
        <v>12</v>
      </c>
      <c r="B78" s="331"/>
      <c r="C78" s="253"/>
      <c r="D78" s="254"/>
      <c r="E78" s="253"/>
      <c r="F78" s="407"/>
      <c r="G78" s="404">
        <f t="shared" si="20"/>
        <v>0</v>
      </c>
      <c r="H78" s="272">
        <f t="shared" si="21"/>
        <v>0</v>
      </c>
    </row>
    <row r="79" spans="1:13" x14ac:dyDescent="0.25">
      <c r="A79" s="393">
        <v>13</v>
      </c>
      <c r="B79" s="331"/>
      <c r="C79" s="253"/>
      <c r="D79" s="254"/>
      <c r="E79" s="253"/>
      <c r="F79" s="407"/>
      <c r="G79" s="404">
        <f t="shared" si="20"/>
        <v>0</v>
      </c>
      <c r="H79" s="272">
        <f t="shared" si="21"/>
        <v>0</v>
      </c>
      <c r="L79" s="281"/>
      <c r="M79" s="281"/>
    </row>
    <row r="80" spans="1:13" x14ac:dyDescent="0.25">
      <c r="A80" s="393">
        <v>14</v>
      </c>
      <c r="B80" s="331"/>
      <c r="C80" s="253"/>
      <c r="D80" s="254"/>
      <c r="E80" s="253"/>
      <c r="F80" s="407"/>
      <c r="G80" s="404">
        <f t="shared" si="20"/>
        <v>0</v>
      </c>
      <c r="H80" s="272">
        <f t="shared" si="21"/>
        <v>0</v>
      </c>
    </row>
    <row r="81" spans="1:8" x14ac:dyDescent="0.25">
      <c r="A81" s="401">
        <v>15</v>
      </c>
      <c r="B81" s="331"/>
      <c r="C81" s="253"/>
      <c r="D81" s="254"/>
      <c r="E81" s="253"/>
      <c r="F81" s="407"/>
      <c r="G81" s="404">
        <f t="shared" si="20"/>
        <v>0</v>
      </c>
      <c r="H81" s="272">
        <f t="shared" si="21"/>
        <v>0</v>
      </c>
    </row>
    <row r="82" spans="1:8" s="257" customFormat="1" ht="15.75" thickBot="1" x14ac:dyDescent="0.3">
      <c r="A82" s="402"/>
      <c r="B82" s="37" t="s">
        <v>144</v>
      </c>
      <c r="C82" s="379"/>
      <c r="D82" s="380"/>
      <c r="E82" s="256">
        <f>SUM(E67:E81)</f>
        <v>0</v>
      </c>
      <c r="F82" s="408">
        <f>SUM(F67:F81)</f>
        <v>0</v>
      </c>
      <c r="G82" s="405">
        <f>SUM(G67:G81)</f>
        <v>0</v>
      </c>
      <c r="H82" s="273">
        <f>SUM(H67:H81)</f>
        <v>0</v>
      </c>
    </row>
  </sheetData>
  <sheetProtection sheet="1"/>
  <mergeCells count="1">
    <mergeCell ref="A25:L25"/>
  </mergeCell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>
    <pageSetUpPr fitToPage="1"/>
  </sheetPr>
  <dimension ref="A1:L44"/>
  <sheetViews>
    <sheetView zoomScale="95" workbookViewId="0">
      <selection activeCell="B9" sqref="B9"/>
    </sheetView>
  </sheetViews>
  <sheetFormatPr defaultRowHeight="15" x14ac:dyDescent="0.25"/>
  <cols>
    <col min="1" max="1" width="4.42578125" style="66" customWidth="1"/>
    <col min="2" max="2" width="31.140625" style="66" customWidth="1"/>
    <col min="3" max="3" width="10" style="66" customWidth="1"/>
    <col min="4" max="4" width="9.5703125" style="66" bestFit="1" customWidth="1"/>
    <col min="5" max="5" width="9.85546875" style="66" customWidth="1"/>
    <col min="6" max="6" width="13.7109375" style="66" customWidth="1"/>
    <col min="7" max="7" width="10.42578125" style="66" bestFit="1" customWidth="1"/>
    <col min="8" max="8" width="33.28515625" style="66" bestFit="1" customWidth="1"/>
    <col min="9" max="9" width="11.7109375" style="66" customWidth="1"/>
    <col min="10" max="10" width="33.28515625" style="66" customWidth="1"/>
    <col min="11" max="11" width="11.42578125" style="66" customWidth="1"/>
    <col min="12" max="12" width="10.85546875" style="66" customWidth="1"/>
    <col min="13" max="16384" width="9.140625" style="66"/>
  </cols>
  <sheetData>
    <row r="1" spans="1:12" ht="18.75" customHeight="1" x14ac:dyDescent="0.25">
      <c r="A1" s="141" t="s">
        <v>150</v>
      </c>
    </row>
    <row r="2" spans="1:12" x14ac:dyDescent="0.25">
      <c r="A2" s="142" t="s">
        <v>156</v>
      </c>
    </row>
    <row r="3" spans="1:12" ht="6.75" customHeight="1" x14ac:dyDescent="0.25">
      <c r="A3" s="143"/>
    </row>
    <row r="4" spans="1:12" ht="15.75" x14ac:dyDescent="0.25">
      <c r="C4" s="174" t="s">
        <v>286</v>
      </c>
      <c r="D4" s="176">
        <f>Quadro_Riassuntivo!E9</f>
        <v>0</v>
      </c>
    </row>
    <row r="5" spans="1:12" ht="15.75" x14ac:dyDescent="0.25">
      <c r="C5" s="174" t="s">
        <v>287</v>
      </c>
      <c r="D5" s="177">
        <f>Quadro_Riassuntivo!E11</f>
        <v>0</v>
      </c>
    </row>
    <row r="6" spans="1:12" ht="10.5" customHeight="1" x14ac:dyDescent="0.25">
      <c r="A6" s="143"/>
      <c r="B6" s="164"/>
    </row>
    <row r="7" spans="1:12" ht="15.75" thickBot="1" x14ac:dyDescent="0.3">
      <c r="A7" s="144" t="s">
        <v>153</v>
      </c>
    </row>
    <row r="8" spans="1:12" ht="80.25" x14ac:dyDescent="0.25">
      <c r="A8" s="33" t="s">
        <v>270</v>
      </c>
      <c r="B8" s="145" t="s">
        <v>157</v>
      </c>
      <c r="C8" s="146" t="s">
        <v>160</v>
      </c>
      <c r="D8" s="146" t="s">
        <v>159</v>
      </c>
      <c r="E8" s="146" t="s">
        <v>272</v>
      </c>
      <c r="F8" s="35" t="s">
        <v>292</v>
      </c>
      <c r="G8" s="35" t="s">
        <v>155</v>
      </c>
      <c r="H8" s="590" t="s">
        <v>218</v>
      </c>
      <c r="I8" s="591"/>
      <c r="J8" s="592" t="s">
        <v>271</v>
      </c>
      <c r="K8" s="591" t="s">
        <v>273</v>
      </c>
      <c r="L8" s="147" t="s">
        <v>269</v>
      </c>
    </row>
    <row r="9" spans="1:12" x14ac:dyDescent="0.25">
      <c r="A9" s="148">
        <v>1</v>
      </c>
      <c r="B9" s="149"/>
      <c r="C9" s="150"/>
      <c r="D9" s="150"/>
      <c r="E9" s="151"/>
      <c r="F9" s="152">
        <f>IF(E9="NO", 0, IF(E9="IN PARTE", D9-((C9-I9)*D9+I9*(D9-0.3))/C9,IF(E9="SI",0.3,)))</f>
        <v>0</v>
      </c>
      <c r="G9" s="153">
        <f>C9*(D9-F9)</f>
        <v>0</v>
      </c>
      <c r="H9" s="154" t="str">
        <f>IF(E9="SI", C9, IF(E9="NO", 0, IF(E9="IN PARTE", "Inserire dato nella colonna a fianco!", "-")))</f>
        <v>-</v>
      </c>
      <c r="I9" s="155" t="str">
        <f t="shared" ref="I9:I15" si="0">IF(H9="Inserire dato nella colonna a fianco!", "   ", H9)</f>
        <v>-</v>
      </c>
      <c r="J9" s="154" t="str">
        <f>IF(I9="-","-",IF(I9&gt;0,"Inserire dato nella colonna a fianco!","-"))</f>
        <v>-</v>
      </c>
      <c r="K9" s="155" t="str">
        <f t="shared" ref="K9:K17" si="1">IF(J9="Inserire dato nella colonna a fianco!", "   ", J9)</f>
        <v>-</v>
      </c>
      <c r="L9" s="156" t="str">
        <f>IF(K9="-","-",K9*I9/1000)</f>
        <v>-</v>
      </c>
    </row>
    <row r="10" spans="1:12" x14ac:dyDescent="0.25">
      <c r="A10" s="148">
        <v>2</v>
      </c>
      <c r="B10" s="149"/>
      <c r="C10" s="150"/>
      <c r="D10" s="150"/>
      <c r="E10" s="151"/>
      <c r="F10" s="152">
        <f t="shared" ref="F10:F23" si="2">IF(E10="NO", 0, IF(E10="IN PARTE", D10-((C10-I10)*D10+I10*(D10-0.3))/C10,IF(E10="SI",0.3,)))</f>
        <v>0</v>
      </c>
      <c r="G10" s="153">
        <f t="shared" ref="G10:G23" si="3">C10*(D10-F10)</f>
        <v>0</v>
      </c>
      <c r="H10" s="154" t="str">
        <f>IF(E10="SI", C10, IF(E10="NO", 0, IF(E10="IN PARTE", "Inserire dato nella colonna a fianco!", "-")))</f>
        <v>-</v>
      </c>
      <c r="I10" s="155" t="str">
        <f t="shared" si="0"/>
        <v>-</v>
      </c>
      <c r="J10" s="154" t="str">
        <f t="shared" ref="J10:J23" si="4">IF(I10="-","-",IF(I10&gt;0,"Inserire dato nella colonna a fianco!","-"))</f>
        <v>-</v>
      </c>
      <c r="K10" s="155" t="str">
        <f t="shared" si="1"/>
        <v>-</v>
      </c>
      <c r="L10" s="156" t="str">
        <f t="shared" ref="L10:L23" si="5">IF(K10="-","-",K10*I10/1000)</f>
        <v>-</v>
      </c>
    </row>
    <row r="11" spans="1:12" x14ac:dyDescent="0.25">
      <c r="A11" s="148">
        <v>3</v>
      </c>
      <c r="B11" s="149"/>
      <c r="C11" s="150"/>
      <c r="D11" s="150"/>
      <c r="E11" s="151"/>
      <c r="F11" s="152">
        <f t="shared" si="2"/>
        <v>0</v>
      </c>
      <c r="G11" s="153">
        <f t="shared" si="3"/>
        <v>0</v>
      </c>
      <c r="H11" s="154" t="str">
        <f t="shared" ref="H11:H23" si="6">IF(E11="SI", C11, IF(E11="NO", 0, IF(E11="IN PARTE", "Inserire dato nella colonna a fianco!", "-")))</f>
        <v>-</v>
      </c>
      <c r="I11" s="155" t="str">
        <f t="shared" si="0"/>
        <v>-</v>
      </c>
      <c r="J11" s="154" t="str">
        <f t="shared" si="4"/>
        <v>-</v>
      </c>
      <c r="K11" s="155" t="str">
        <f t="shared" si="1"/>
        <v>-</v>
      </c>
      <c r="L11" s="156" t="str">
        <f t="shared" si="5"/>
        <v>-</v>
      </c>
    </row>
    <row r="12" spans="1:12" x14ac:dyDescent="0.25">
      <c r="A12" s="148">
        <v>4</v>
      </c>
      <c r="B12" s="149"/>
      <c r="C12" s="150"/>
      <c r="D12" s="150"/>
      <c r="E12" s="151"/>
      <c r="F12" s="152">
        <f t="shared" si="2"/>
        <v>0</v>
      </c>
      <c r="G12" s="153">
        <f t="shared" si="3"/>
        <v>0</v>
      </c>
      <c r="H12" s="154" t="str">
        <f t="shared" si="6"/>
        <v>-</v>
      </c>
      <c r="I12" s="155" t="str">
        <f t="shared" si="0"/>
        <v>-</v>
      </c>
      <c r="J12" s="154" t="str">
        <f t="shared" si="4"/>
        <v>-</v>
      </c>
      <c r="K12" s="155" t="str">
        <f t="shared" si="1"/>
        <v>-</v>
      </c>
      <c r="L12" s="156" t="str">
        <f t="shared" si="5"/>
        <v>-</v>
      </c>
    </row>
    <row r="13" spans="1:12" x14ac:dyDescent="0.25">
      <c r="A13" s="148">
        <v>5</v>
      </c>
      <c r="B13" s="149"/>
      <c r="C13" s="150"/>
      <c r="D13" s="150"/>
      <c r="E13" s="151"/>
      <c r="F13" s="152">
        <f t="shared" si="2"/>
        <v>0</v>
      </c>
      <c r="G13" s="153">
        <f t="shared" si="3"/>
        <v>0</v>
      </c>
      <c r="H13" s="154" t="str">
        <f t="shared" si="6"/>
        <v>-</v>
      </c>
      <c r="I13" s="155" t="str">
        <f t="shared" si="0"/>
        <v>-</v>
      </c>
      <c r="J13" s="154" t="str">
        <f t="shared" si="4"/>
        <v>-</v>
      </c>
      <c r="K13" s="155" t="str">
        <f t="shared" si="1"/>
        <v>-</v>
      </c>
      <c r="L13" s="156" t="str">
        <f t="shared" si="5"/>
        <v>-</v>
      </c>
    </row>
    <row r="14" spans="1:12" x14ac:dyDescent="0.25">
      <c r="A14" s="148">
        <v>6</v>
      </c>
      <c r="B14" s="149"/>
      <c r="C14" s="150"/>
      <c r="D14" s="150"/>
      <c r="E14" s="151"/>
      <c r="F14" s="152">
        <f t="shared" si="2"/>
        <v>0</v>
      </c>
      <c r="G14" s="153">
        <f t="shared" si="3"/>
        <v>0</v>
      </c>
      <c r="H14" s="154" t="str">
        <f t="shared" si="6"/>
        <v>-</v>
      </c>
      <c r="I14" s="155" t="str">
        <f t="shared" si="0"/>
        <v>-</v>
      </c>
      <c r="J14" s="154" t="str">
        <f t="shared" si="4"/>
        <v>-</v>
      </c>
      <c r="K14" s="155" t="str">
        <f t="shared" si="1"/>
        <v>-</v>
      </c>
      <c r="L14" s="156" t="str">
        <f t="shared" si="5"/>
        <v>-</v>
      </c>
    </row>
    <row r="15" spans="1:12" x14ac:dyDescent="0.25">
      <c r="A15" s="148">
        <v>7</v>
      </c>
      <c r="B15" s="149"/>
      <c r="C15" s="150"/>
      <c r="D15" s="150"/>
      <c r="E15" s="151"/>
      <c r="F15" s="152">
        <f t="shared" si="2"/>
        <v>0</v>
      </c>
      <c r="G15" s="153">
        <f t="shared" si="3"/>
        <v>0</v>
      </c>
      <c r="H15" s="154" t="str">
        <f t="shared" si="6"/>
        <v>-</v>
      </c>
      <c r="I15" s="155" t="str">
        <f t="shared" si="0"/>
        <v>-</v>
      </c>
      <c r="J15" s="154" t="str">
        <f t="shared" si="4"/>
        <v>-</v>
      </c>
      <c r="K15" s="155" t="str">
        <f t="shared" si="1"/>
        <v>-</v>
      </c>
      <c r="L15" s="156" t="str">
        <f t="shared" si="5"/>
        <v>-</v>
      </c>
    </row>
    <row r="16" spans="1:12" x14ac:dyDescent="0.25">
      <c r="A16" s="148">
        <v>8</v>
      </c>
      <c r="B16" s="149"/>
      <c r="C16" s="150"/>
      <c r="D16" s="150"/>
      <c r="E16" s="151"/>
      <c r="F16" s="152">
        <f t="shared" si="2"/>
        <v>0</v>
      </c>
      <c r="G16" s="153">
        <f>C16*(D16-F16)</f>
        <v>0</v>
      </c>
      <c r="H16" s="154" t="str">
        <f t="shared" si="6"/>
        <v>-</v>
      </c>
      <c r="I16" s="155" t="str">
        <f t="shared" ref="I16:I23" si="7">IF(H16="Inserire dato nella colonna a fianco!", "   ", H16)</f>
        <v>-</v>
      </c>
      <c r="J16" s="154" t="str">
        <f t="shared" si="4"/>
        <v>-</v>
      </c>
      <c r="K16" s="155" t="str">
        <f t="shared" si="1"/>
        <v>-</v>
      </c>
      <c r="L16" s="156" t="str">
        <f t="shared" si="5"/>
        <v>-</v>
      </c>
    </row>
    <row r="17" spans="1:12" x14ac:dyDescent="0.25">
      <c r="A17" s="148">
        <v>9</v>
      </c>
      <c r="B17" s="149"/>
      <c r="C17" s="150"/>
      <c r="D17" s="150"/>
      <c r="E17" s="151"/>
      <c r="F17" s="152">
        <f t="shared" si="2"/>
        <v>0</v>
      </c>
      <c r="G17" s="153">
        <f t="shared" si="3"/>
        <v>0</v>
      </c>
      <c r="H17" s="154" t="str">
        <f t="shared" si="6"/>
        <v>-</v>
      </c>
      <c r="I17" s="155" t="str">
        <f t="shared" si="7"/>
        <v>-</v>
      </c>
      <c r="J17" s="154" t="str">
        <f t="shared" si="4"/>
        <v>-</v>
      </c>
      <c r="K17" s="155" t="str">
        <f t="shared" si="1"/>
        <v>-</v>
      </c>
      <c r="L17" s="156" t="str">
        <f t="shared" si="5"/>
        <v>-</v>
      </c>
    </row>
    <row r="18" spans="1:12" x14ac:dyDescent="0.25">
      <c r="A18" s="148">
        <v>10</v>
      </c>
      <c r="B18" s="149"/>
      <c r="C18" s="150"/>
      <c r="D18" s="150"/>
      <c r="E18" s="151"/>
      <c r="F18" s="152">
        <f t="shared" si="2"/>
        <v>0</v>
      </c>
      <c r="G18" s="153">
        <f t="shared" si="3"/>
        <v>0</v>
      </c>
      <c r="H18" s="154" t="str">
        <f t="shared" si="6"/>
        <v>-</v>
      </c>
      <c r="I18" s="155" t="str">
        <f t="shared" si="7"/>
        <v>-</v>
      </c>
      <c r="J18" s="154" t="str">
        <f t="shared" si="4"/>
        <v>-</v>
      </c>
      <c r="K18" s="155" t="str">
        <f t="shared" ref="K18:K23" si="8">IF(J18="Inserire dato nella colonna a fianco!", "   ", J18)</f>
        <v>-</v>
      </c>
      <c r="L18" s="156" t="str">
        <f t="shared" si="5"/>
        <v>-</v>
      </c>
    </row>
    <row r="19" spans="1:12" x14ac:dyDescent="0.25">
      <c r="A19" s="148">
        <v>11</v>
      </c>
      <c r="B19" s="149"/>
      <c r="C19" s="150"/>
      <c r="D19" s="150"/>
      <c r="E19" s="151"/>
      <c r="F19" s="152">
        <f t="shared" si="2"/>
        <v>0</v>
      </c>
      <c r="G19" s="153">
        <f t="shared" si="3"/>
        <v>0</v>
      </c>
      <c r="H19" s="154" t="str">
        <f t="shared" si="6"/>
        <v>-</v>
      </c>
      <c r="I19" s="155" t="str">
        <f t="shared" si="7"/>
        <v>-</v>
      </c>
      <c r="J19" s="154" t="str">
        <f t="shared" si="4"/>
        <v>-</v>
      </c>
      <c r="K19" s="155" t="str">
        <f t="shared" si="8"/>
        <v>-</v>
      </c>
      <c r="L19" s="156" t="str">
        <f t="shared" si="5"/>
        <v>-</v>
      </c>
    </row>
    <row r="20" spans="1:12" x14ac:dyDescent="0.25">
      <c r="A20" s="148">
        <v>12</v>
      </c>
      <c r="B20" s="149"/>
      <c r="C20" s="150"/>
      <c r="D20" s="150"/>
      <c r="E20" s="151"/>
      <c r="F20" s="152">
        <f t="shared" si="2"/>
        <v>0</v>
      </c>
      <c r="G20" s="153">
        <f t="shared" si="3"/>
        <v>0</v>
      </c>
      <c r="H20" s="154" t="str">
        <f t="shared" si="6"/>
        <v>-</v>
      </c>
      <c r="I20" s="155" t="str">
        <f t="shared" si="7"/>
        <v>-</v>
      </c>
      <c r="J20" s="154" t="str">
        <f t="shared" si="4"/>
        <v>-</v>
      </c>
      <c r="K20" s="155" t="str">
        <f t="shared" si="8"/>
        <v>-</v>
      </c>
      <c r="L20" s="156" t="str">
        <f t="shared" si="5"/>
        <v>-</v>
      </c>
    </row>
    <row r="21" spans="1:12" x14ac:dyDescent="0.25">
      <c r="A21" s="148">
        <v>13</v>
      </c>
      <c r="B21" s="149"/>
      <c r="C21" s="150"/>
      <c r="D21" s="150"/>
      <c r="E21" s="151"/>
      <c r="F21" s="152">
        <f t="shared" si="2"/>
        <v>0</v>
      </c>
      <c r="G21" s="153">
        <f t="shared" si="3"/>
        <v>0</v>
      </c>
      <c r="H21" s="154" t="str">
        <f t="shared" si="6"/>
        <v>-</v>
      </c>
      <c r="I21" s="155" t="str">
        <f t="shared" si="7"/>
        <v>-</v>
      </c>
      <c r="J21" s="154" t="str">
        <f t="shared" si="4"/>
        <v>-</v>
      </c>
      <c r="K21" s="155" t="str">
        <f t="shared" si="8"/>
        <v>-</v>
      </c>
      <c r="L21" s="156" t="str">
        <f t="shared" si="5"/>
        <v>-</v>
      </c>
    </row>
    <row r="22" spans="1:12" x14ac:dyDescent="0.25">
      <c r="A22" s="148">
        <v>14</v>
      </c>
      <c r="B22" s="149"/>
      <c r="C22" s="150"/>
      <c r="D22" s="150"/>
      <c r="E22" s="151"/>
      <c r="F22" s="152">
        <f t="shared" si="2"/>
        <v>0</v>
      </c>
      <c r="G22" s="153">
        <f t="shared" si="3"/>
        <v>0</v>
      </c>
      <c r="H22" s="154" t="str">
        <f t="shared" si="6"/>
        <v>-</v>
      </c>
      <c r="I22" s="155" t="str">
        <f t="shared" si="7"/>
        <v>-</v>
      </c>
      <c r="J22" s="154" t="str">
        <f t="shared" si="4"/>
        <v>-</v>
      </c>
      <c r="K22" s="155" t="str">
        <f t="shared" si="8"/>
        <v>-</v>
      </c>
      <c r="L22" s="156" t="str">
        <f t="shared" si="5"/>
        <v>-</v>
      </c>
    </row>
    <row r="23" spans="1:12" x14ac:dyDescent="0.25">
      <c r="A23" s="148">
        <v>15</v>
      </c>
      <c r="B23" s="149"/>
      <c r="C23" s="150"/>
      <c r="D23" s="150"/>
      <c r="E23" s="151"/>
      <c r="F23" s="152">
        <f t="shared" si="2"/>
        <v>0</v>
      </c>
      <c r="G23" s="153">
        <f t="shared" si="3"/>
        <v>0</v>
      </c>
      <c r="H23" s="154" t="str">
        <f t="shared" si="6"/>
        <v>-</v>
      </c>
      <c r="I23" s="155" t="str">
        <f t="shared" si="7"/>
        <v>-</v>
      </c>
      <c r="J23" s="154" t="str">
        <f t="shared" si="4"/>
        <v>-</v>
      </c>
      <c r="K23" s="155" t="str">
        <f t="shared" si="8"/>
        <v>-</v>
      </c>
      <c r="L23" s="156" t="str">
        <f t="shared" si="5"/>
        <v>-</v>
      </c>
    </row>
    <row r="24" spans="1:12" s="161" customFormat="1" ht="15.75" thickBot="1" x14ac:dyDescent="0.3">
      <c r="A24" s="157"/>
      <c r="B24" s="158" t="s">
        <v>144</v>
      </c>
      <c r="C24" s="158"/>
      <c r="D24" s="158"/>
      <c r="E24" s="158"/>
      <c r="F24" s="158"/>
      <c r="G24" s="159">
        <f>SUM(G9:G23)</f>
        <v>0</v>
      </c>
      <c r="H24" s="160" t="s">
        <v>203</v>
      </c>
      <c r="I24" s="95">
        <f>SUM(I9:I23)</f>
        <v>0</v>
      </c>
      <c r="J24" s="160" t="s">
        <v>203</v>
      </c>
      <c r="K24" s="160" t="s">
        <v>203</v>
      </c>
      <c r="L24" s="108">
        <f>SUM(L9:L23)</f>
        <v>0</v>
      </c>
    </row>
    <row r="25" spans="1:12" x14ac:dyDescent="0.25">
      <c r="A25" s="66" t="s">
        <v>291</v>
      </c>
      <c r="B25" s="66" t="s">
        <v>293</v>
      </c>
    </row>
    <row r="26" spans="1:12" ht="12.75" customHeight="1" x14ac:dyDescent="0.25"/>
    <row r="27" spans="1:12" ht="15.75" thickBot="1" x14ac:dyDescent="0.3">
      <c r="A27" s="144" t="s">
        <v>161</v>
      </c>
    </row>
    <row r="28" spans="1:12" ht="60" x14ac:dyDescent="0.25">
      <c r="A28" s="33" t="s">
        <v>270</v>
      </c>
      <c r="B28" s="145" t="s">
        <v>162</v>
      </c>
      <c r="C28" s="146" t="s">
        <v>160</v>
      </c>
      <c r="D28" s="146" t="s">
        <v>164</v>
      </c>
      <c r="E28" s="146" t="s">
        <v>163</v>
      </c>
      <c r="F28" s="35" t="s">
        <v>155</v>
      </c>
      <c r="G28" s="35" t="s">
        <v>158</v>
      </c>
      <c r="H28" s="592" t="s">
        <v>271</v>
      </c>
      <c r="I28" s="591" t="s">
        <v>273</v>
      </c>
      <c r="J28" s="147" t="s">
        <v>269</v>
      </c>
    </row>
    <row r="29" spans="1:12" x14ac:dyDescent="0.25">
      <c r="A29" s="148">
        <v>1</v>
      </c>
      <c r="B29" s="149"/>
      <c r="C29" s="150"/>
      <c r="D29" s="150"/>
      <c r="E29" s="151"/>
      <c r="F29" s="153">
        <f>C29*D29</f>
        <v>0</v>
      </c>
      <c r="G29" s="153">
        <f t="shared" ref="G29:G43" si="9">IF(E29="SI", C29, 0)</f>
        <v>0</v>
      </c>
      <c r="H29" s="154" t="str">
        <f>IF(E29="SI","Inserire dato nella colonna a fianco!",IF(E29="NO","-","-"))</f>
        <v>-</v>
      </c>
      <c r="I29" s="155" t="str">
        <f t="shared" ref="I29:I43" si="10">IF(H29="Inserire dato nella colonna a fianco!", "   ", H29)</f>
        <v>-</v>
      </c>
      <c r="J29" s="156" t="str">
        <f>IF(I29="-","-",I29*G29/1000)</f>
        <v>-</v>
      </c>
    </row>
    <row r="30" spans="1:12" x14ac:dyDescent="0.25">
      <c r="A30" s="148">
        <v>2</v>
      </c>
      <c r="B30" s="149"/>
      <c r="C30" s="150"/>
      <c r="D30" s="150"/>
      <c r="E30" s="151"/>
      <c r="F30" s="153">
        <f t="shared" ref="F30:F43" si="11">C30*D30</f>
        <v>0</v>
      </c>
      <c r="G30" s="153">
        <f t="shared" si="9"/>
        <v>0</v>
      </c>
      <c r="H30" s="154" t="str">
        <f t="shared" ref="H30:H43" si="12">IF(E30="SI","Inserire dato nella colonna a fianco!",IF(E30="NO","-","-"))</f>
        <v>-</v>
      </c>
      <c r="I30" s="155" t="str">
        <f t="shared" si="10"/>
        <v>-</v>
      </c>
      <c r="J30" s="156" t="str">
        <f t="shared" ref="J30:J43" si="13">IF(I30="-","-",I30*G30/1000)</f>
        <v>-</v>
      </c>
    </row>
    <row r="31" spans="1:12" x14ac:dyDescent="0.25">
      <c r="A31" s="148">
        <v>3</v>
      </c>
      <c r="B31" s="149"/>
      <c r="C31" s="150"/>
      <c r="D31" s="150"/>
      <c r="E31" s="151"/>
      <c r="F31" s="153">
        <f t="shared" si="11"/>
        <v>0</v>
      </c>
      <c r="G31" s="153">
        <f t="shared" si="9"/>
        <v>0</v>
      </c>
      <c r="H31" s="154" t="str">
        <f t="shared" si="12"/>
        <v>-</v>
      </c>
      <c r="I31" s="155" t="str">
        <f t="shared" si="10"/>
        <v>-</v>
      </c>
      <c r="J31" s="156" t="str">
        <f t="shared" si="13"/>
        <v>-</v>
      </c>
    </row>
    <row r="32" spans="1:12" x14ac:dyDescent="0.25">
      <c r="A32" s="148">
        <v>4</v>
      </c>
      <c r="B32" s="149"/>
      <c r="C32" s="150"/>
      <c r="D32" s="150"/>
      <c r="E32" s="151"/>
      <c r="F32" s="153">
        <f t="shared" si="11"/>
        <v>0</v>
      </c>
      <c r="G32" s="153">
        <f t="shared" si="9"/>
        <v>0</v>
      </c>
      <c r="H32" s="154" t="str">
        <f t="shared" si="12"/>
        <v>-</v>
      </c>
      <c r="I32" s="155" t="str">
        <f t="shared" si="10"/>
        <v>-</v>
      </c>
      <c r="J32" s="156" t="str">
        <f t="shared" si="13"/>
        <v>-</v>
      </c>
    </row>
    <row r="33" spans="1:10" x14ac:dyDescent="0.25">
      <c r="A33" s="148">
        <v>5</v>
      </c>
      <c r="B33" s="149"/>
      <c r="C33" s="150"/>
      <c r="D33" s="150"/>
      <c r="E33" s="151"/>
      <c r="F33" s="153">
        <f t="shared" si="11"/>
        <v>0</v>
      </c>
      <c r="G33" s="153">
        <f t="shared" si="9"/>
        <v>0</v>
      </c>
      <c r="H33" s="154" t="str">
        <f t="shared" si="12"/>
        <v>-</v>
      </c>
      <c r="I33" s="155" t="str">
        <f t="shared" si="10"/>
        <v>-</v>
      </c>
      <c r="J33" s="156" t="str">
        <f t="shared" si="13"/>
        <v>-</v>
      </c>
    </row>
    <row r="34" spans="1:10" x14ac:dyDescent="0.25">
      <c r="A34" s="148">
        <v>6</v>
      </c>
      <c r="B34" s="149"/>
      <c r="C34" s="150"/>
      <c r="D34" s="150"/>
      <c r="E34" s="151"/>
      <c r="F34" s="153">
        <f t="shared" si="11"/>
        <v>0</v>
      </c>
      <c r="G34" s="153">
        <f t="shared" si="9"/>
        <v>0</v>
      </c>
      <c r="H34" s="154" t="str">
        <f t="shared" si="12"/>
        <v>-</v>
      </c>
      <c r="I34" s="155" t="str">
        <f t="shared" si="10"/>
        <v>-</v>
      </c>
      <c r="J34" s="156" t="str">
        <f t="shared" si="13"/>
        <v>-</v>
      </c>
    </row>
    <row r="35" spans="1:10" x14ac:dyDescent="0.25">
      <c r="A35" s="148">
        <v>7</v>
      </c>
      <c r="B35" s="149"/>
      <c r="C35" s="150"/>
      <c r="D35" s="150"/>
      <c r="E35" s="151"/>
      <c r="F35" s="153">
        <f t="shared" si="11"/>
        <v>0</v>
      </c>
      <c r="G35" s="153">
        <f t="shared" si="9"/>
        <v>0</v>
      </c>
      <c r="H35" s="154" t="str">
        <f t="shared" si="12"/>
        <v>-</v>
      </c>
      <c r="I35" s="155" t="str">
        <f t="shared" si="10"/>
        <v>-</v>
      </c>
      <c r="J35" s="156" t="str">
        <f t="shared" si="13"/>
        <v>-</v>
      </c>
    </row>
    <row r="36" spans="1:10" x14ac:dyDescent="0.25">
      <c r="A36" s="148">
        <v>8</v>
      </c>
      <c r="B36" s="149"/>
      <c r="C36" s="150"/>
      <c r="D36" s="150"/>
      <c r="E36" s="151"/>
      <c r="F36" s="153">
        <f t="shared" si="11"/>
        <v>0</v>
      </c>
      <c r="G36" s="153">
        <f t="shared" si="9"/>
        <v>0</v>
      </c>
      <c r="H36" s="154" t="str">
        <f t="shared" si="12"/>
        <v>-</v>
      </c>
      <c r="I36" s="155" t="str">
        <f t="shared" si="10"/>
        <v>-</v>
      </c>
      <c r="J36" s="156" t="str">
        <f t="shared" si="13"/>
        <v>-</v>
      </c>
    </row>
    <row r="37" spans="1:10" x14ac:dyDescent="0.25">
      <c r="A37" s="148">
        <v>9</v>
      </c>
      <c r="B37" s="149"/>
      <c r="C37" s="150"/>
      <c r="D37" s="150"/>
      <c r="E37" s="151"/>
      <c r="F37" s="153">
        <f t="shared" si="11"/>
        <v>0</v>
      </c>
      <c r="G37" s="153">
        <f t="shared" si="9"/>
        <v>0</v>
      </c>
      <c r="H37" s="154" t="str">
        <f t="shared" si="12"/>
        <v>-</v>
      </c>
      <c r="I37" s="155" t="str">
        <f t="shared" si="10"/>
        <v>-</v>
      </c>
      <c r="J37" s="156" t="str">
        <f t="shared" si="13"/>
        <v>-</v>
      </c>
    </row>
    <row r="38" spans="1:10" x14ac:dyDescent="0.25">
      <c r="A38" s="148">
        <v>10</v>
      </c>
      <c r="B38" s="149"/>
      <c r="C38" s="150"/>
      <c r="D38" s="150"/>
      <c r="E38" s="151"/>
      <c r="F38" s="153">
        <f t="shared" si="11"/>
        <v>0</v>
      </c>
      <c r="G38" s="153">
        <f t="shared" si="9"/>
        <v>0</v>
      </c>
      <c r="H38" s="154" t="str">
        <f t="shared" si="12"/>
        <v>-</v>
      </c>
      <c r="I38" s="155" t="str">
        <f t="shared" si="10"/>
        <v>-</v>
      </c>
      <c r="J38" s="156" t="str">
        <f t="shared" si="13"/>
        <v>-</v>
      </c>
    </row>
    <row r="39" spans="1:10" x14ac:dyDescent="0.25">
      <c r="A39" s="148">
        <v>11</v>
      </c>
      <c r="B39" s="149"/>
      <c r="C39" s="150"/>
      <c r="D39" s="150"/>
      <c r="E39" s="151"/>
      <c r="F39" s="153">
        <f t="shared" si="11"/>
        <v>0</v>
      </c>
      <c r="G39" s="153">
        <f t="shared" si="9"/>
        <v>0</v>
      </c>
      <c r="H39" s="154" t="str">
        <f t="shared" si="12"/>
        <v>-</v>
      </c>
      <c r="I39" s="155" t="str">
        <f t="shared" si="10"/>
        <v>-</v>
      </c>
      <c r="J39" s="156" t="str">
        <f t="shared" si="13"/>
        <v>-</v>
      </c>
    </row>
    <row r="40" spans="1:10" x14ac:dyDescent="0.25">
      <c r="A40" s="148">
        <v>12</v>
      </c>
      <c r="B40" s="149"/>
      <c r="C40" s="150"/>
      <c r="D40" s="150"/>
      <c r="E40" s="151"/>
      <c r="F40" s="153">
        <f t="shared" si="11"/>
        <v>0</v>
      </c>
      <c r="G40" s="153">
        <f t="shared" si="9"/>
        <v>0</v>
      </c>
      <c r="H40" s="154" t="str">
        <f t="shared" si="12"/>
        <v>-</v>
      </c>
      <c r="I40" s="155" t="str">
        <f t="shared" si="10"/>
        <v>-</v>
      </c>
      <c r="J40" s="156" t="str">
        <f t="shared" si="13"/>
        <v>-</v>
      </c>
    </row>
    <row r="41" spans="1:10" x14ac:dyDescent="0.25">
      <c r="A41" s="148">
        <v>13</v>
      </c>
      <c r="B41" s="149"/>
      <c r="C41" s="150"/>
      <c r="D41" s="150"/>
      <c r="E41" s="151"/>
      <c r="F41" s="153">
        <f t="shared" si="11"/>
        <v>0</v>
      </c>
      <c r="G41" s="153">
        <f t="shared" si="9"/>
        <v>0</v>
      </c>
      <c r="H41" s="154" t="str">
        <f t="shared" si="12"/>
        <v>-</v>
      </c>
      <c r="I41" s="155" t="str">
        <f t="shared" si="10"/>
        <v>-</v>
      </c>
      <c r="J41" s="156" t="str">
        <f t="shared" si="13"/>
        <v>-</v>
      </c>
    </row>
    <row r="42" spans="1:10" x14ac:dyDescent="0.25">
      <c r="A42" s="148">
        <v>14</v>
      </c>
      <c r="B42" s="149"/>
      <c r="C42" s="150"/>
      <c r="D42" s="150"/>
      <c r="E42" s="151"/>
      <c r="F42" s="153">
        <f t="shared" si="11"/>
        <v>0</v>
      </c>
      <c r="G42" s="153">
        <f t="shared" si="9"/>
        <v>0</v>
      </c>
      <c r="H42" s="154" t="str">
        <f t="shared" si="12"/>
        <v>-</v>
      </c>
      <c r="I42" s="155" t="str">
        <f t="shared" si="10"/>
        <v>-</v>
      </c>
      <c r="J42" s="156" t="str">
        <f t="shared" si="13"/>
        <v>-</v>
      </c>
    </row>
    <row r="43" spans="1:10" x14ac:dyDescent="0.25">
      <c r="A43" s="148">
        <v>15</v>
      </c>
      <c r="B43" s="149"/>
      <c r="C43" s="150"/>
      <c r="D43" s="150"/>
      <c r="E43" s="151"/>
      <c r="F43" s="153">
        <f t="shared" si="11"/>
        <v>0</v>
      </c>
      <c r="G43" s="153">
        <f t="shared" si="9"/>
        <v>0</v>
      </c>
      <c r="H43" s="154" t="str">
        <f t="shared" si="12"/>
        <v>-</v>
      </c>
      <c r="I43" s="155" t="str">
        <f t="shared" si="10"/>
        <v>-</v>
      </c>
      <c r="J43" s="156" t="str">
        <f t="shared" si="13"/>
        <v>-</v>
      </c>
    </row>
    <row r="44" spans="1:10" ht="15.75" thickBot="1" x14ac:dyDescent="0.3">
      <c r="A44" s="157"/>
      <c r="B44" s="158" t="s">
        <v>144</v>
      </c>
      <c r="C44" s="158"/>
      <c r="D44" s="158"/>
      <c r="E44" s="158"/>
      <c r="F44" s="159">
        <f>SUM(F29:F43)</f>
        <v>0</v>
      </c>
      <c r="G44" s="159">
        <f>SUM(G29:G43)</f>
        <v>0</v>
      </c>
      <c r="H44" s="160" t="s">
        <v>203</v>
      </c>
      <c r="I44" s="160" t="s">
        <v>203</v>
      </c>
      <c r="J44" s="108">
        <f>SUM(J29:J43)</f>
        <v>0</v>
      </c>
    </row>
  </sheetData>
  <sheetProtection sheet="1"/>
  <mergeCells count="3">
    <mergeCell ref="H8:I8"/>
    <mergeCell ref="J8:K8"/>
    <mergeCell ref="H28:I28"/>
  </mergeCells>
  <phoneticPr fontId="7" type="noConversion"/>
  <pageMargins left="0.19685039370078741" right="0.15748031496062992" top="0.27559055118110237" bottom="0.27559055118110237" header="0.23622047244094491" footer="0.1574803149606299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/>
  <dimension ref="A1:AJ187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22.85546875" style="10" customWidth="1"/>
    <col min="2" max="2" width="21.85546875" style="10" customWidth="1"/>
    <col min="3" max="3" width="33.42578125" style="10" customWidth="1"/>
    <col min="4" max="4" width="9.28515625" style="181" customWidth="1"/>
    <col min="5" max="5" width="8.7109375" style="10" customWidth="1"/>
    <col min="6" max="6" width="9" style="10" customWidth="1"/>
    <col min="7" max="7" width="9.7109375" style="10" bestFit="1" customWidth="1"/>
    <col min="8" max="11" width="9.140625" style="10" hidden="1" customWidth="1"/>
    <col min="12" max="12" width="8.7109375" style="10" hidden="1" customWidth="1"/>
    <col min="13" max="15" width="8.140625" style="10" hidden="1" customWidth="1"/>
    <col min="16" max="16" width="8.5703125" style="10" hidden="1" customWidth="1"/>
    <col min="17" max="17" width="8.42578125" style="10" bestFit="1" customWidth="1"/>
    <col min="18" max="18" width="8.7109375" style="10" customWidth="1"/>
    <col min="19" max="19" width="8" style="10" customWidth="1"/>
    <col min="20" max="20" width="9.28515625" style="10" customWidth="1"/>
    <col min="21" max="22" width="9.85546875" style="10" customWidth="1"/>
    <col min="23" max="24" width="9.28515625" style="52" customWidth="1"/>
    <col min="25" max="27" width="9.140625" style="10" hidden="1" customWidth="1"/>
    <col min="28" max="28" width="8.42578125" style="10" bestFit="1" customWidth="1"/>
    <col min="29" max="29" width="8.140625" style="10" customWidth="1"/>
    <col min="30" max="16384" width="9.140625" style="10"/>
  </cols>
  <sheetData>
    <row r="1" spans="1:36" ht="18.75" customHeight="1" x14ac:dyDescent="0.25">
      <c r="A1" s="114" t="s">
        <v>151</v>
      </c>
    </row>
    <row r="2" spans="1:36" x14ac:dyDescent="0.25">
      <c r="A2" s="4" t="s">
        <v>146</v>
      </c>
    </row>
    <row r="3" spans="1:36" x14ac:dyDescent="0.25">
      <c r="A3" s="4" t="s">
        <v>169</v>
      </c>
    </row>
    <row r="4" spans="1:36" x14ac:dyDescent="0.25">
      <c r="A4" s="13" t="s">
        <v>152</v>
      </c>
    </row>
    <row r="5" spans="1:36" x14ac:dyDescent="0.25">
      <c r="A5" s="190" t="s">
        <v>448</v>
      </c>
    </row>
    <row r="7" spans="1:36" s="73" customFormat="1" ht="84" customHeight="1" x14ac:dyDescent="0.2">
      <c r="A7" s="1" t="s">
        <v>261</v>
      </c>
      <c r="B7" s="1" t="s">
        <v>263</v>
      </c>
      <c r="C7" s="1" t="s">
        <v>262</v>
      </c>
      <c r="D7" s="182" t="s">
        <v>143</v>
      </c>
      <c r="E7" s="67" t="s">
        <v>260</v>
      </c>
      <c r="F7" s="1" t="s">
        <v>304</v>
      </c>
      <c r="G7" s="1" t="s">
        <v>303</v>
      </c>
      <c r="H7" s="1" t="s">
        <v>297</v>
      </c>
      <c r="I7" s="1" t="s">
        <v>294</v>
      </c>
      <c r="J7" s="1" t="s">
        <v>295</v>
      </c>
      <c r="K7" s="1" t="s">
        <v>296</v>
      </c>
      <c r="L7" s="1" t="s">
        <v>298</v>
      </c>
      <c r="M7" s="1" t="s">
        <v>299</v>
      </c>
      <c r="N7" s="1" t="s">
        <v>300</v>
      </c>
      <c r="O7" s="1" t="s">
        <v>301</v>
      </c>
      <c r="P7" s="1" t="s">
        <v>302</v>
      </c>
      <c r="Q7" s="1" t="s">
        <v>165</v>
      </c>
      <c r="R7" s="68" t="s">
        <v>147</v>
      </c>
      <c r="S7" s="68" t="s">
        <v>148</v>
      </c>
      <c r="T7" s="68" t="s">
        <v>274</v>
      </c>
      <c r="U7" s="68" t="s">
        <v>275</v>
      </c>
      <c r="V7" s="68" t="s">
        <v>306</v>
      </c>
      <c r="W7" s="68" t="s">
        <v>421</v>
      </c>
      <c r="X7" s="68" t="s">
        <v>416</v>
      </c>
      <c r="Y7" s="68" t="s">
        <v>225</v>
      </c>
      <c r="Z7" s="68" t="s">
        <v>226</v>
      </c>
      <c r="AA7" s="68" t="s">
        <v>265</v>
      </c>
      <c r="AB7" s="68" t="s">
        <v>266</v>
      </c>
      <c r="AC7" s="68" t="s">
        <v>268</v>
      </c>
    </row>
    <row r="8" spans="1:36" s="11" customFormat="1" ht="21" x14ac:dyDescent="0.25">
      <c r="A8" s="85" t="s">
        <v>241</v>
      </c>
      <c r="B8" s="85" t="s">
        <v>55</v>
      </c>
      <c r="C8" s="85" t="s">
        <v>61</v>
      </c>
      <c r="D8" s="111"/>
      <c r="E8" s="111"/>
      <c r="F8" s="85">
        <v>100</v>
      </c>
      <c r="G8" s="85"/>
      <c r="H8" s="85">
        <v>22</v>
      </c>
      <c r="I8" s="85">
        <v>120</v>
      </c>
      <c r="J8" s="187">
        <v>48</v>
      </c>
      <c r="K8" s="85">
        <v>127</v>
      </c>
      <c r="L8" s="85"/>
      <c r="M8" s="85"/>
      <c r="N8" s="187"/>
      <c r="O8" s="85"/>
      <c r="P8" s="85">
        <f>I8+M8</f>
        <v>120</v>
      </c>
      <c r="Q8" s="50">
        <f t="shared" ref="Q8:Q39" si="0">IF(E8="SI", D8*F8/1000*L8, 0)</f>
        <v>0</v>
      </c>
      <c r="R8" s="70">
        <f t="shared" ref="R8:R39" si="1">(D8*F8/1000*H8)+Q8</f>
        <v>0</v>
      </c>
      <c r="S8" s="70">
        <f t="shared" ref="S8:S39" si="2">(D8*F8/1000*L8)-Q8</f>
        <v>0</v>
      </c>
      <c r="T8" s="70">
        <f t="shared" ref="T8:T39" si="3">IF(Q8=0,I8*D8*F8/1000,((I8*D8*F8/1000)+(M8*D8*F8/1000)))</f>
        <v>0</v>
      </c>
      <c r="U8" s="70">
        <f t="shared" ref="U8:U39" si="4">IF(Q8=0, M8*D8*F8/1000, 0)</f>
        <v>0</v>
      </c>
      <c r="V8" s="70">
        <f t="shared" ref="V8:V39" si="5">D8*F8/1000</f>
        <v>0</v>
      </c>
      <c r="W8" s="345">
        <f>IF(Q8=0,D8*F8/1000*J8+D8*F8/1000*N8,(J8*D8*F8/1000)+(N8*D8*F8/1000))</f>
        <v>0</v>
      </c>
      <c r="X8" s="345">
        <f>IF(Q8=0,D8*F8/1000*K8+D8*F8/1000*O8,(K8*D8*F8/1000)+(O8*D8*F8/1000))</f>
        <v>0</v>
      </c>
      <c r="Y8" s="85"/>
      <c r="Z8" s="85">
        <v>0.4</v>
      </c>
      <c r="AA8" s="85">
        <v>0</v>
      </c>
      <c r="AB8" s="86">
        <f t="shared" ref="AB8:AB39" si="6">Z8*D8</f>
        <v>0</v>
      </c>
      <c r="AC8" s="86">
        <f t="shared" ref="AC8:AC39" si="7">AA8*D8</f>
        <v>0</v>
      </c>
      <c r="AD8" s="77"/>
      <c r="AE8" s="76"/>
      <c r="AF8" s="76"/>
      <c r="AG8" s="76"/>
      <c r="AH8" s="76"/>
      <c r="AI8" s="76"/>
      <c r="AJ8" s="76"/>
    </row>
    <row r="9" spans="1:36" s="11" customFormat="1" ht="21" x14ac:dyDescent="0.25">
      <c r="A9" s="85" t="s">
        <v>241</v>
      </c>
      <c r="B9" s="85" t="s">
        <v>55</v>
      </c>
      <c r="C9" s="85" t="s">
        <v>60</v>
      </c>
      <c r="D9" s="111"/>
      <c r="E9" s="111"/>
      <c r="F9" s="85">
        <v>100</v>
      </c>
      <c r="G9" s="85"/>
      <c r="H9" s="85">
        <v>1.5</v>
      </c>
      <c r="I9" s="85">
        <v>20</v>
      </c>
      <c r="J9" s="187">
        <v>8</v>
      </c>
      <c r="K9" s="85">
        <v>10.6</v>
      </c>
      <c r="L9" s="85">
        <v>24</v>
      </c>
      <c r="M9" s="85">
        <v>100</v>
      </c>
      <c r="N9" s="187">
        <v>40</v>
      </c>
      <c r="O9" s="85">
        <v>116.4</v>
      </c>
      <c r="P9" s="85">
        <f t="shared" ref="P9:P73" si="8">I9+M9</f>
        <v>120</v>
      </c>
      <c r="Q9" s="50">
        <f t="shared" si="0"/>
        <v>0</v>
      </c>
      <c r="R9" s="70">
        <f t="shared" si="1"/>
        <v>0</v>
      </c>
      <c r="S9" s="70">
        <f t="shared" si="2"/>
        <v>0</v>
      </c>
      <c r="T9" s="70">
        <f t="shared" si="3"/>
        <v>0</v>
      </c>
      <c r="U9" s="70">
        <f t="shared" si="4"/>
        <v>0</v>
      </c>
      <c r="V9" s="70">
        <f t="shared" si="5"/>
        <v>0</v>
      </c>
      <c r="W9" s="345">
        <f t="shared" ref="W9:W73" si="9">IF(Q9=0,D9*F9/1000*J9+D9*F9/1000*N9,(J9*D9*F9/1000)+(N9*D9*F9/1000))</f>
        <v>0</v>
      </c>
      <c r="X9" s="345">
        <f t="shared" ref="X9:X73" si="10">IF(Q9=0,D9*F9/1000*K9+D9*F9/1000*O9,(K9*D9*F9/1000)+(O9*D9*F9/1000))</f>
        <v>0</v>
      </c>
      <c r="Y9" s="85"/>
      <c r="Z9" s="85">
        <v>0.4</v>
      </c>
      <c r="AA9" s="85">
        <v>0</v>
      </c>
      <c r="AB9" s="86">
        <f t="shared" si="6"/>
        <v>0</v>
      </c>
      <c r="AC9" s="86">
        <f t="shared" si="7"/>
        <v>0</v>
      </c>
      <c r="AD9" s="77"/>
      <c r="AE9" s="76"/>
      <c r="AF9" s="76"/>
      <c r="AG9" s="76"/>
      <c r="AH9" s="76"/>
      <c r="AI9" s="76"/>
      <c r="AJ9" s="76"/>
    </row>
    <row r="10" spans="1:36" s="11" customFormat="1" ht="21" x14ac:dyDescent="0.25">
      <c r="A10" s="85" t="s">
        <v>241</v>
      </c>
      <c r="B10" s="85" t="s">
        <v>55</v>
      </c>
      <c r="C10" s="85" t="s">
        <v>129</v>
      </c>
      <c r="D10" s="111"/>
      <c r="E10" s="111"/>
      <c r="F10" s="85">
        <v>100</v>
      </c>
      <c r="G10" s="85"/>
      <c r="H10" s="85"/>
      <c r="I10" s="85"/>
      <c r="J10" s="187"/>
      <c r="K10" s="85"/>
      <c r="L10" s="85">
        <v>25.5</v>
      </c>
      <c r="M10" s="85">
        <v>120</v>
      </c>
      <c r="N10" s="187">
        <v>48</v>
      </c>
      <c r="O10" s="85">
        <v>127</v>
      </c>
      <c r="P10" s="85">
        <f t="shared" si="8"/>
        <v>120</v>
      </c>
      <c r="Q10" s="50">
        <f t="shared" si="0"/>
        <v>0</v>
      </c>
      <c r="R10" s="70">
        <f t="shared" si="1"/>
        <v>0</v>
      </c>
      <c r="S10" s="70">
        <f t="shared" si="2"/>
        <v>0</v>
      </c>
      <c r="T10" s="70">
        <f t="shared" si="3"/>
        <v>0</v>
      </c>
      <c r="U10" s="70">
        <f t="shared" si="4"/>
        <v>0</v>
      </c>
      <c r="V10" s="70">
        <f t="shared" si="5"/>
        <v>0</v>
      </c>
      <c r="W10" s="345">
        <f t="shared" si="9"/>
        <v>0</v>
      </c>
      <c r="X10" s="345">
        <f t="shared" si="10"/>
        <v>0</v>
      </c>
      <c r="Y10" s="85"/>
      <c r="Z10" s="85">
        <v>0.4</v>
      </c>
      <c r="AA10" s="85">
        <v>0</v>
      </c>
      <c r="AB10" s="86">
        <f t="shared" si="6"/>
        <v>0</v>
      </c>
      <c r="AC10" s="86">
        <f t="shared" si="7"/>
        <v>0</v>
      </c>
      <c r="AD10" s="77"/>
      <c r="AE10" s="76"/>
      <c r="AF10" s="76"/>
      <c r="AG10" s="76"/>
      <c r="AH10" s="76"/>
      <c r="AI10" s="76"/>
      <c r="AJ10" s="76"/>
    </row>
    <row r="11" spans="1:36" s="11" customFormat="1" x14ac:dyDescent="0.25">
      <c r="A11" s="85" t="s">
        <v>239</v>
      </c>
      <c r="B11" s="85" t="s">
        <v>55</v>
      </c>
      <c r="C11" s="85" t="s">
        <v>56</v>
      </c>
      <c r="D11" s="111"/>
      <c r="E11" s="111"/>
      <c r="F11" s="85">
        <v>220</v>
      </c>
      <c r="G11" s="85"/>
      <c r="H11" s="85">
        <v>3.2</v>
      </c>
      <c r="I11" s="85">
        <v>26</v>
      </c>
      <c r="J11" s="187">
        <v>10.4</v>
      </c>
      <c r="K11" s="85">
        <v>15.2</v>
      </c>
      <c r="L11" s="85">
        <v>23.5</v>
      </c>
      <c r="M11" s="85">
        <v>94</v>
      </c>
      <c r="N11" s="187">
        <v>37.6</v>
      </c>
      <c r="O11" s="85">
        <v>108.8</v>
      </c>
      <c r="P11" s="85">
        <f t="shared" si="8"/>
        <v>120</v>
      </c>
      <c r="Q11" s="50">
        <f t="shared" si="0"/>
        <v>0</v>
      </c>
      <c r="R11" s="70">
        <f t="shared" si="1"/>
        <v>0</v>
      </c>
      <c r="S11" s="70">
        <f t="shared" si="2"/>
        <v>0</v>
      </c>
      <c r="T11" s="70">
        <f t="shared" si="3"/>
        <v>0</v>
      </c>
      <c r="U11" s="70">
        <f t="shared" si="4"/>
        <v>0</v>
      </c>
      <c r="V11" s="70">
        <f t="shared" si="5"/>
        <v>0</v>
      </c>
      <c r="W11" s="345">
        <f t="shared" si="9"/>
        <v>0</v>
      </c>
      <c r="X11" s="345">
        <f t="shared" si="10"/>
        <v>0</v>
      </c>
      <c r="Y11" s="85"/>
      <c r="Z11" s="85">
        <v>0.6</v>
      </c>
      <c r="AA11" s="85">
        <v>0.6</v>
      </c>
      <c r="AB11" s="86">
        <f t="shared" si="6"/>
        <v>0</v>
      </c>
      <c r="AC11" s="86">
        <f t="shared" si="7"/>
        <v>0</v>
      </c>
      <c r="AD11" s="77"/>
      <c r="AE11" s="76"/>
      <c r="AF11" s="76"/>
      <c r="AG11" s="76"/>
      <c r="AH11" s="76"/>
      <c r="AI11" s="76"/>
      <c r="AJ11" s="76"/>
    </row>
    <row r="12" spans="1:36" s="11" customFormat="1" ht="21" x14ac:dyDescent="0.25">
      <c r="A12" s="85" t="s">
        <v>239</v>
      </c>
      <c r="B12" s="85" t="s">
        <v>55</v>
      </c>
      <c r="C12" s="85" t="s">
        <v>127</v>
      </c>
      <c r="D12" s="111"/>
      <c r="E12" s="111"/>
      <c r="F12" s="85">
        <v>220</v>
      </c>
      <c r="G12" s="85"/>
      <c r="H12" s="85"/>
      <c r="I12" s="85"/>
      <c r="J12" s="187"/>
      <c r="K12" s="85"/>
      <c r="L12" s="85">
        <v>26.7</v>
      </c>
      <c r="M12" s="85">
        <v>120</v>
      </c>
      <c r="N12" s="187">
        <v>48</v>
      </c>
      <c r="O12" s="85">
        <v>124</v>
      </c>
      <c r="P12" s="85">
        <f t="shared" si="8"/>
        <v>120</v>
      </c>
      <c r="Q12" s="50">
        <f t="shared" si="0"/>
        <v>0</v>
      </c>
      <c r="R12" s="70">
        <f t="shared" si="1"/>
        <v>0</v>
      </c>
      <c r="S12" s="70">
        <f t="shared" si="2"/>
        <v>0</v>
      </c>
      <c r="T12" s="70">
        <f t="shared" si="3"/>
        <v>0</v>
      </c>
      <c r="U12" s="70">
        <f t="shared" si="4"/>
        <v>0</v>
      </c>
      <c r="V12" s="70">
        <f t="shared" si="5"/>
        <v>0</v>
      </c>
      <c r="W12" s="345">
        <f t="shared" si="9"/>
        <v>0</v>
      </c>
      <c r="X12" s="345">
        <f t="shared" si="10"/>
        <v>0</v>
      </c>
      <c r="Y12" s="85"/>
      <c r="Z12" s="85">
        <v>0.6</v>
      </c>
      <c r="AA12" s="85">
        <v>0.6</v>
      </c>
      <c r="AB12" s="86">
        <f t="shared" si="6"/>
        <v>0</v>
      </c>
      <c r="AC12" s="86">
        <f t="shared" si="7"/>
        <v>0</v>
      </c>
      <c r="AD12" s="77"/>
      <c r="AE12" s="76"/>
      <c r="AF12" s="76"/>
      <c r="AG12" s="76"/>
      <c r="AH12" s="76"/>
      <c r="AI12" s="76"/>
      <c r="AJ12" s="76"/>
    </row>
    <row r="13" spans="1:36" s="11" customFormat="1" x14ac:dyDescent="0.25">
      <c r="A13" s="85" t="s">
        <v>239</v>
      </c>
      <c r="B13" s="85" t="s">
        <v>55</v>
      </c>
      <c r="C13" s="85" t="s">
        <v>59</v>
      </c>
      <c r="D13" s="111"/>
      <c r="E13" s="111"/>
      <c r="F13" s="85">
        <v>220</v>
      </c>
      <c r="G13" s="85"/>
      <c r="H13" s="85">
        <v>2.8</v>
      </c>
      <c r="I13" s="85">
        <v>17</v>
      </c>
      <c r="J13" s="187">
        <v>6.8</v>
      </c>
      <c r="K13" s="85">
        <v>14.7</v>
      </c>
      <c r="L13" s="85">
        <v>24</v>
      </c>
      <c r="M13" s="85">
        <v>103</v>
      </c>
      <c r="N13" s="187">
        <v>41.2</v>
      </c>
      <c r="O13" s="85">
        <v>112.3</v>
      </c>
      <c r="P13" s="85">
        <f t="shared" si="8"/>
        <v>120</v>
      </c>
      <c r="Q13" s="50">
        <f t="shared" si="0"/>
        <v>0</v>
      </c>
      <c r="R13" s="70">
        <f t="shared" si="1"/>
        <v>0</v>
      </c>
      <c r="S13" s="70">
        <f t="shared" si="2"/>
        <v>0</v>
      </c>
      <c r="T13" s="70">
        <f t="shared" si="3"/>
        <v>0</v>
      </c>
      <c r="U13" s="70">
        <f t="shared" si="4"/>
        <v>0</v>
      </c>
      <c r="V13" s="70">
        <f t="shared" si="5"/>
        <v>0</v>
      </c>
      <c r="W13" s="345">
        <f t="shared" si="9"/>
        <v>0</v>
      </c>
      <c r="X13" s="345">
        <f t="shared" si="10"/>
        <v>0</v>
      </c>
      <c r="Y13" s="85"/>
      <c r="Z13" s="85">
        <v>0.6</v>
      </c>
      <c r="AA13" s="85">
        <v>0.6</v>
      </c>
      <c r="AB13" s="86">
        <f t="shared" si="6"/>
        <v>0</v>
      </c>
      <c r="AC13" s="86">
        <f t="shared" si="7"/>
        <v>0</v>
      </c>
      <c r="AD13" s="77"/>
      <c r="AE13" s="76"/>
      <c r="AF13" s="76"/>
      <c r="AG13" s="76"/>
      <c r="AH13" s="76"/>
      <c r="AI13" s="76"/>
      <c r="AJ13" s="76"/>
    </row>
    <row r="14" spans="1:36" s="11" customFormat="1" ht="21" x14ac:dyDescent="0.25">
      <c r="A14" s="85" t="s">
        <v>239</v>
      </c>
      <c r="B14" s="85" t="s">
        <v>55</v>
      </c>
      <c r="C14" s="85" t="s">
        <v>128</v>
      </c>
      <c r="D14" s="111"/>
      <c r="E14" s="111"/>
      <c r="F14" s="85">
        <v>220</v>
      </c>
      <c r="G14" s="85"/>
      <c r="H14" s="85"/>
      <c r="I14" s="85"/>
      <c r="J14" s="187"/>
      <c r="K14" s="85"/>
      <c r="L14" s="85">
        <v>26.8</v>
      </c>
      <c r="M14" s="85">
        <v>120</v>
      </c>
      <c r="N14" s="187">
        <v>48</v>
      </c>
      <c r="O14" s="85">
        <v>127</v>
      </c>
      <c r="P14" s="85">
        <f t="shared" si="8"/>
        <v>120</v>
      </c>
      <c r="Q14" s="50">
        <f t="shared" si="0"/>
        <v>0</v>
      </c>
      <c r="R14" s="70">
        <f t="shared" si="1"/>
        <v>0</v>
      </c>
      <c r="S14" s="70">
        <f t="shared" si="2"/>
        <v>0</v>
      </c>
      <c r="T14" s="70">
        <f t="shared" si="3"/>
        <v>0</v>
      </c>
      <c r="U14" s="70">
        <f t="shared" si="4"/>
        <v>0</v>
      </c>
      <c r="V14" s="70">
        <f t="shared" si="5"/>
        <v>0</v>
      </c>
      <c r="W14" s="345">
        <f t="shared" si="9"/>
        <v>0</v>
      </c>
      <c r="X14" s="345">
        <f t="shared" si="10"/>
        <v>0</v>
      </c>
      <c r="Y14" s="85"/>
      <c r="Z14" s="85">
        <v>0.6</v>
      </c>
      <c r="AA14" s="85">
        <v>0.6</v>
      </c>
      <c r="AB14" s="86">
        <f t="shared" si="6"/>
        <v>0</v>
      </c>
      <c r="AC14" s="86">
        <f t="shared" si="7"/>
        <v>0</v>
      </c>
      <c r="AD14" s="77"/>
      <c r="AE14" s="76"/>
      <c r="AF14" s="76"/>
      <c r="AG14" s="76"/>
      <c r="AH14" s="76"/>
      <c r="AI14" s="76"/>
      <c r="AJ14" s="76"/>
    </row>
    <row r="15" spans="1:36" s="11" customFormat="1" ht="21" x14ac:dyDescent="0.25">
      <c r="A15" s="85" t="s">
        <v>239</v>
      </c>
      <c r="B15" s="85" t="s">
        <v>55</v>
      </c>
      <c r="C15" s="85" t="s">
        <v>46</v>
      </c>
      <c r="D15" s="111"/>
      <c r="E15" s="111"/>
      <c r="F15" s="85">
        <v>220</v>
      </c>
      <c r="G15" s="85"/>
      <c r="H15" s="85">
        <v>16</v>
      </c>
      <c r="I15" s="85">
        <v>61</v>
      </c>
      <c r="J15" s="187">
        <v>24.4</v>
      </c>
      <c r="K15" s="85">
        <v>68</v>
      </c>
      <c r="L15" s="85">
        <v>13.9</v>
      </c>
      <c r="M15" s="85">
        <v>59</v>
      </c>
      <c r="N15" s="187">
        <v>23.6</v>
      </c>
      <c r="O15" s="85">
        <v>59</v>
      </c>
      <c r="P15" s="85">
        <f t="shared" si="8"/>
        <v>120</v>
      </c>
      <c r="Q15" s="50">
        <f t="shared" si="0"/>
        <v>0</v>
      </c>
      <c r="R15" s="70">
        <f t="shared" si="1"/>
        <v>0</v>
      </c>
      <c r="S15" s="70">
        <f t="shared" si="2"/>
        <v>0</v>
      </c>
      <c r="T15" s="70">
        <f t="shared" si="3"/>
        <v>0</v>
      </c>
      <c r="U15" s="70">
        <f t="shared" si="4"/>
        <v>0</v>
      </c>
      <c r="V15" s="70">
        <f t="shared" si="5"/>
        <v>0</v>
      </c>
      <c r="W15" s="345">
        <f t="shared" si="9"/>
        <v>0</v>
      </c>
      <c r="X15" s="345">
        <f t="shared" si="10"/>
        <v>0</v>
      </c>
      <c r="Y15" s="85"/>
      <c r="Z15" s="85">
        <v>0.6</v>
      </c>
      <c r="AA15" s="85">
        <v>0.6</v>
      </c>
      <c r="AB15" s="86">
        <f t="shared" si="6"/>
        <v>0</v>
      </c>
      <c r="AC15" s="86">
        <f t="shared" si="7"/>
        <v>0</v>
      </c>
      <c r="AD15" s="77"/>
      <c r="AE15" s="76"/>
      <c r="AF15" s="76"/>
      <c r="AG15" s="76"/>
      <c r="AH15" s="76"/>
      <c r="AI15" s="76"/>
      <c r="AJ15" s="76"/>
    </row>
    <row r="16" spans="1:36" s="11" customFormat="1" ht="21" x14ac:dyDescent="0.25">
      <c r="A16" s="85" t="s">
        <v>239</v>
      </c>
      <c r="B16" s="85" t="s">
        <v>55</v>
      </c>
      <c r="C16" s="85" t="s">
        <v>47</v>
      </c>
      <c r="D16" s="111"/>
      <c r="E16" s="111"/>
      <c r="F16" s="85">
        <v>220</v>
      </c>
      <c r="G16" s="85"/>
      <c r="H16" s="85">
        <v>9</v>
      </c>
      <c r="I16" s="85">
        <v>59</v>
      </c>
      <c r="J16" s="187">
        <v>23.6</v>
      </c>
      <c r="K16" s="85">
        <v>37.5</v>
      </c>
      <c r="L16" s="85">
        <v>21.5</v>
      </c>
      <c r="M16" s="85">
        <v>61</v>
      </c>
      <c r="N16" s="187">
        <v>24.4</v>
      </c>
      <c r="O16" s="85">
        <v>89.5</v>
      </c>
      <c r="P16" s="85">
        <f t="shared" si="8"/>
        <v>120</v>
      </c>
      <c r="Q16" s="50">
        <f t="shared" si="0"/>
        <v>0</v>
      </c>
      <c r="R16" s="70">
        <f t="shared" si="1"/>
        <v>0</v>
      </c>
      <c r="S16" s="70">
        <f t="shared" si="2"/>
        <v>0</v>
      </c>
      <c r="T16" s="70">
        <f t="shared" si="3"/>
        <v>0</v>
      </c>
      <c r="U16" s="70">
        <f t="shared" si="4"/>
        <v>0</v>
      </c>
      <c r="V16" s="70">
        <f t="shared" si="5"/>
        <v>0</v>
      </c>
      <c r="W16" s="345">
        <f t="shared" si="9"/>
        <v>0</v>
      </c>
      <c r="X16" s="345">
        <f t="shared" si="10"/>
        <v>0</v>
      </c>
      <c r="Y16" s="85"/>
      <c r="Z16" s="85">
        <v>0.6</v>
      </c>
      <c r="AA16" s="85">
        <v>0.6</v>
      </c>
      <c r="AB16" s="86">
        <f t="shared" si="6"/>
        <v>0</v>
      </c>
      <c r="AC16" s="86">
        <f t="shared" si="7"/>
        <v>0</v>
      </c>
      <c r="AD16" s="77"/>
      <c r="AE16" s="76"/>
      <c r="AF16" s="76"/>
      <c r="AG16" s="76"/>
      <c r="AH16" s="76"/>
      <c r="AI16" s="76"/>
      <c r="AJ16" s="76"/>
    </row>
    <row r="17" spans="1:36" s="11" customFormat="1" ht="21" x14ac:dyDescent="0.25">
      <c r="A17" s="85" t="s">
        <v>239</v>
      </c>
      <c r="B17" s="85" t="s">
        <v>55</v>
      </c>
      <c r="C17" s="85" t="s">
        <v>45</v>
      </c>
      <c r="D17" s="111"/>
      <c r="E17" s="111"/>
      <c r="F17" s="85">
        <v>220</v>
      </c>
      <c r="G17" s="85"/>
      <c r="H17" s="85">
        <v>26</v>
      </c>
      <c r="I17" s="85">
        <v>120</v>
      </c>
      <c r="J17" s="187">
        <v>48</v>
      </c>
      <c r="K17" s="85">
        <v>127</v>
      </c>
      <c r="L17" s="85"/>
      <c r="M17" s="85"/>
      <c r="N17" s="187"/>
      <c r="O17" s="85"/>
      <c r="P17" s="85">
        <f t="shared" si="8"/>
        <v>120</v>
      </c>
      <c r="Q17" s="50">
        <f t="shared" si="0"/>
        <v>0</v>
      </c>
      <c r="R17" s="70">
        <f t="shared" si="1"/>
        <v>0</v>
      </c>
      <c r="S17" s="70">
        <f t="shared" si="2"/>
        <v>0</v>
      </c>
      <c r="T17" s="70">
        <f t="shared" si="3"/>
        <v>0</v>
      </c>
      <c r="U17" s="70">
        <f t="shared" si="4"/>
        <v>0</v>
      </c>
      <c r="V17" s="70">
        <f t="shared" si="5"/>
        <v>0</v>
      </c>
      <c r="W17" s="345">
        <f t="shared" si="9"/>
        <v>0</v>
      </c>
      <c r="X17" s="345">
        <f t="shared" si="10"/>
        <v>0</v>
      </c>
      <c r="Y17" s="85"/>
      <c r="Z17" s="85">
        <v>0.6</v>
      </c>
      <c r="AA17" s="85">
        <v>0.6</v>
      </c>
      <c r="AB17" s="86">
        <f t="shared" si="6"/>
        <v>0</v>
      </c>
      <c r="AC17" s="86">
        <f t="shared" si="7"/>
        <v>0</v>
      </c>
      <c r="AD17" s="77"/>
      <c r="AE17" s="76"/>
      <c r="AF17" s="76"/>
      <c r="AG17" s="76"/>
      <c r="AH17" s="76"/>
      <c r="AI17" s="76"/>
      <c r="AJ17" s="76"/>
    </row>
    <row r="18" spans="1:36" s="11" customFormat="1" x14ac:dyDescent="0.25">
      <c r="A18" s="85" t="s">
        <v>239</v>
      </c>
      <c r="B18" s="85" t="s">
        <v>55</v>
      </c>
      <c r="C18" s="85" t="s">
        <v>57</v>
      </c>
      <c r="D18" s="111"/>
      <c r="E18" s="111"/>
      <c r="F18" s="85">
        <v>220</v>
      </c>
      <c r="G18" s="85"/>
      <c r="H18" s="85">
        <v>26</v>
      </c>
      <c r="I18" s="85">
        <v>120</v>
      </c>
      <c r="J18" s="187">
        <v>48</v>
      </c>
      <c r="K18" s="85">
        <v>127</v>
      </c>
      <c r="L18" s="85"/>
      <c r="M18" s="85"/>
      <c r="N18" s="187"/>
      <c r="O18" s="85"/>
      <c r="P18" s="85">
        <f t="shared" si="8"/>
        <v>120</v>
      </c>
      <c r="Q18" s="50">
        <f t="shared" si="0"/>
        <v>0</v>
      </c>
      <c r="R18" s="70">
        <f t="shared" si="1"/>
        <v>0</v>
      </c>
      <c r="S18" s="70">
        <f t="shared" si="2"/>
        <v>0</v>
      </c>
      <c r="T18" s="70">
        <f t="shared" si="3"/>
        <v>0</v>
      </c>
      <c r="U18" s="70">
        <f t="shared" si="4"/>
        <v>0</v>
      </c>
      <c r="V18" s="70">
        <f t="shared" si="5"/>
        <v>0</v>
      </c>
      <c r="W18" s="345">
        <f t="shared" si="9"/>
        <v>0</v>
      </c>
      <c r="X18" s="345">
        <f t="shared" si="10"/>
        <v>0</v>
      </c>
      <c r="Y18" s="85"/>
      <c r="Z18" s="85">
        <v>0.6</v>
      </c>
      <c r="AA18" s="85">
        <v>0.6</v>
      </c>
      <c r="AB18" s="86">
        <f t="shared" si="6"/>
        <v>0</v>
      </c>
      <c r="AC18" s="86">
        <f t="shared" si="7"/>
        <v>0</v>
      </c>
      <c r="AD18" s="77"/>
      <c r="AE18" s="76"/>
      <c r="AF18" s="76"/>
      <c r="AG18" s="76"/>
      <c r="AH18" s="76"/>
      <c r="AI18" s="76"/>
      <c r="AJ18" s="76"/>
    </row>
    <row r="19" spans="1:36" s="11" customFormat="1" ht="21" x14ac:dyDescent="0.25">
      <c r="A19" s="85" t="s">
        <v>239</v>
      </c>
      <c r="B19" s="85" t="s">
        <v>55</v>
      </c>
      <c r="C19" s="85" t="s">
        <v>49</v>
      </c>
      <c r="D19" s="111"/>
      <c r="E19" s="111"/>
      <c r="F19" s="85">
        <v>220</v>
      </c>
      <c r="G19" s="85"/>
      <c r="H19" s="85">
        <v>2.8</v>
      </c>
      <c r="I19" s="85">
        <v>17</v>
      </c>
      <c r="J19" s="187">
        <v>6.8</v>
      </c>
      <c r="K19" s="85">
        <v>11.9</v>
      </c>
      <c r="L19" s="85">
        <v>24</v>
      </c>
      <c r="M19" s="85">
        <v>103</v>
      </c>
      <c r="N19" s="187">
        <v>41.2</v>
      </c>
      <c r="O19" s="85">
        <v>115.1</v>
      </c>
      <c r="P19" s="85">
        <f t="shared" si="8"/>
        <v>120</v>
      </c>
      <c r="Q19" s="50">
        <f t="shared" si="0"/>
        <v>0</v>
      </c>
      <c r="R19" s="70">
        <f t="shared" si="1"/>
        <v>0</v>
      </c>
      <c r="S19" s="70">
        <f t="shared" si="2"/>
        <v>0</v>
      </c>
      <c r="T19" s="70">
        <f t="shared" si="3"/>
        <v>0</v>
      </c>
      <c r="U19" s="70">
        <f t="shared" si="4"/>
        <v>0</v>
      </c>
      <c r="V19" s="70">
        <f t="shared" si="5"/>
        <v>0</v>
      </c>
      <c r="W19" s="345">
        <f t="shared" si="9"/>
        <v>0</v>
      </c>
      <c r="X19" s="345">
        <f t="shared" si="10"/>
        <v>0</v>
      </c>
      <c r="Y19" s="85"/>
      <c r="Z19" s="85">
        <v>0.6</v>
      </c>
      <c r="AA19" s="85">
        <v>0.6</v>
      </c>
      <c r="AB19" s="86">
        <f t="shared" si="6"/>
        <v>0</v>
      </c>
      <c r="AC19" s="86">
        <f t="shared" si="7"/>
        <v>0</v>
      </c>
      <c r="AD19" s="77"/>
      <c r="AE19" s="76"/>
      <c r="AF19" s="76"/>
      <c r="AG19" s="76"/>
      <c r="AH19" s="76"/>
      <c r="AI19" s="76"/>
      <c r="AJ19" s="76"/>
    </row>
    <row r="20" spans="1:36" s="11" customFormat="1" ht="21" x14ac:dyDescent="0.25">
      <c r="A20" s="85" t="s">
        <v>239</v>
      </c>
      <c r="B20" s="85" t="s">
        <v>55</v>
      </c>
      <c r="C20" s="85" t="s">
        <v>126</v>
      </c>
      <c r="D20" s="111"/>
      <c r="E20" s="111"/>
      <c r="F20" s="85">
        <v>220</v>
      </c>
      <c r="G20" s="85"/>
      <c r="H20" s="85"/>
      <c r="I20" s="85"/>
      <c r="J20" s="187"/>
      <c r="K20" s="85"/>
      <c r="L20" s="85">
        <v>26.8</v>
      </c>
      <c r="M20" s="85">
        <v>120</v>
      </c>
      <c r="N20" s="187">
        <v>48</v>
      </c>
      <c r="O20" s="85">
        <v>127</v>
      </c>
      <c r="P20" s="85">
        <f t="shared" si="8"/>
        <v>120</v>
      </c>
      <c r="Q20" s="50">
        <f t="shared" si="0"/>
        <v>0</v>
      </c>
      <c r="R20" s="70">
        <f t="shared" si="1"/>
        <v>0</v>
      </c>
      <c r="S20" s="70">
        <f t="shared" si="2"/>
        <v>0</v>
      </c>
      <c r="T20" s="70">
        <f t="shared" si="3"/>
        <v>0</v>
      </c>
      <c r="U20" s="70">
        <f t="shared" si="4"/>
        <v>0</v>
      </c>
      <c r="V20" s="70">
        <f t="shared" si="5"/>
        <v>0</v>
      </c>
      <c r="W20" s="345">
        <f t="shared" si="9"/>
        <v>0</v>
      </c>
      <c r="X20" s="345">
        <f t="shared" si="10"/>
        <v>0</v>
      </c>
      <c r="Y20" s="85"/>
      <c r="Z20" s="85">
        <v>0.6</v>
      </c>
      <c r="AA20" s="85">
        <v>0.6</v>
      </c>
      <c r="AB20" s="86">
        <f t="shared" si="6"/>
        <v>0</v>
      </c>
      <c r="AC20" s="86">
        <f t="shared" si="7"/>
        <v>0</v>
      </c>
      <c r="AD20" s="77"/>
      <c r="AE20" s="76"/>
      <c r="AF20" s="76"/>
      <c r="AG20" s="76"/>
      <c r="AH20" s="76"/>
      <c r="AI20" s="76"/>
      <c r="AJ20" s="76"/>
    </row>
    <row r="21" spans="1:36" s="11" customFormat="1" ht="21" x14ac:dyDescent="0.25">
      <c r="A21" s="85" t="s">
        <v>239</v>
      </c>
      <c r="B21" s="85" t="s">
        <v>55</v>
      </c>
      <c r="C21" s="85" t="s">
        <v>58</v>
      </c>
      <c r="D21" s="111"/>
      <c r="E21" s="111"/>
      <c r="F21" s="85">
        <v>220</v>
      </c>
      <c r="G21" s="85"/>
      <c r="H21" s="85">
        <v>13</v>
      </c>
      <c r="I21" s="85">
        <v>61</v>
      </c>
      <c r="J21" s="187">
        <v>24.4</v>
      </c>
      <c r="K21" s="85">
        <v>40.9</v>
      </c>
      <c r="L21" s="85">
        <v>27.4</v>
      </c>
      <c r="M21" s="85">
        <v>59</v>
      </c>
      <c r="N21" s="187">
        <v>23.6</v>
      </c>
      <c r="O21" s="85">
        <v>86.1</v>
      </c>
      <c r="P21" s="85">
        <f t="shared" si="8"/>
        <v>120</v>
      </c>
      <c r="Q21" s="50">
        <f t="shared" si="0"/>
        <v>0</v>
      </c>
      <c r="R21" s="70">
        <f t="shared" si="1"/>
        <v>0</v>
      </c>
      <c r="S21" s="70">
        <f t="shared" si="2"/>
        <v>0</v>
      </c>
      <c r="T21" s="70">
        <f t="shared" si="3"/>
        <v>0</v>
      </c>
      <c r="U21" s="70">
        <f t="shared" si="4"/>
        <v>0</v>
      </c>
      <c r="V21" s="70">
        <f t="shared" si="5"/>
        <v>0</v>
      </c>
      <c r="W21" s="345">
        <f t="shared" si="9"/>
        <v>0</v>
      </c>
      <c r="X21" s="345">
        <f t="shared" si="10"/>
        <v>0</v>
      </c>
      <c r="Y21" s="85"/>
      <c r="Z21" s="85">
        <v>0.6</v>
      </c>
      <c r="AA21" s="85">
        <v>0.6</v>
      </c>
      <c r="AB21" s="86">
        <f t="shared" si="6"/>
        <v>0</v>
      </c>
      <c r="AC21" s="86">
        <f t="shared" si="7"/>
        <v>0</v>
      </c>
      <c r="AD21" s="77"/>
      <c r="AE21" s="76"/>
      <c r="AF21" s="76"/>
      <c r="AG21" s="76"/>
      <c r="AH21" s="76"/>
      <c r="AI21" s="76"/>
      <c r="AJ21" s="76"/>
    </row>
    <row r="22" spans="1:36" s="11" customFormat="1" ht="21" x14ac:dyDescent="0.25">
      <c r="A22" s="85" t="s">
        <v>229</v>
      </c>
      <c r="B22" s="85" t="s">
        <v>55</v>
      </c>
      <c r="C22" s="85" t="s">
        <v>56</v>
      </c>
      <c r="D22" s="111"/>
      <c r="E22" s="111"/>
      <c r="F22" s="85">
        <v>425</v>
      </c>
      <c r="G22" s="85"/>
      <c r="H22" s="85">
        <v>3.2</v>
      </c>
      <c r="I22" s="85">
        <v>26</v>
      </c>
      <c r="J22" s="187">
        <v>10.4</v>
      </c>
      <c r="K22" s="85">
        <v>18.2</v>
      </c>
      <c r="L22" s="85">
        <v>23.5</v>
      </c>
      <c r="M22" s="85">
        <v>94</v>
      </c>
      <c r="N22" s="187">
        <v>37.6</v>
      </c>
      <c r="O22" s="85">
        <v>108.8</v>
      </c>
      <c r="P22" s="85">
        <f t="shared" si="8"/>
        <v>120</v>
      </c>
      <c r="Q22" s="50">
        <f t="shared" si="0"/>
        <v>0</v>
      </c>
      <c r="R22" s="70">
        <f t="shared" si="1"/>
        <v>0</v>
      </c>
      <c r="S22" s="70">
        <f t="shared" si="2"/>
        <v>0</v>
      </c>
      <c r="T22" s="70">
        <f t="shared" si="3"/>
        <v>0</v>
      </c>
      <c r="U22" s="70">
        <f t="shared" si="4"/>
        <v>0</v>
      </c>
      <c r="V22" s="70">
        <f t="shared" si="5"/>
        <v>0</v>
      </c>
      <c r="W22" s="345">
        <f t="shared" si="9"/>
        <v>0</v>
      </c>
      <c r="X22" s="345">
        <f t="shared" si="10"/>
        <v>0</v>
      </c>
      <c r="Y22" s="85"/>
      <c r="Z22" s="85">
        <v>0.6</v>
      </c>
      <c r="AA22" s="85">
        <v>0.6</v>
      </c>
      <c r="AB22" s="86">
        <f t="shared" si="6"/>
        <v>0</v>
      </c>
      <c r="AC22" s="86">
        <f t="shared" si="7"/>
        <v>0</v>
      </c>
      <c r="AD22" s="77"/>
      <c r="AE22" s="76"/>
      <c r="AF22" s="76"/>
      <c r="AG22" s="76"/>
      <c r="AH22" s="76"/>
      <c r="AI22" s="76"/>
      <c r="AJ22" s="76"/>
    </row>
    <row r="23" spans="1:36" s="11" customFormat="1" ht="21" x14ac:dyDescent="0.25">
      <c r="A23" s="85" t="s">
        <v>229</v>
      </c>
      <c r="B23" s="85" t="s">
        <v>55</v>
      </c>
      <c r="C23" s="85" t="s">
        <v>127</v>
      </c>
      <c r="D23" s="111"/>
      <c r="E23" s="111"/>
      <c r="F23" s="85">
        <v>425</v>
      </c>
      <c r="G23" s="85"/>
      <c r="H23" s="85"/>
      <c r="I23" s="85"/>
      <c r="J23" s="187"/>
      <c r="K23" s="85"/>
      <c r="L23" s="85">
        <v>26.7</v>
      </c>
      <c r="M23" s="85">
        <v>120</v>
      </c>
      <c r="N23" s="187">
        <v>48</v>
      </c>
      <c r="O23" s="85">
        <v>127</v>
      </c>
      <c r="P23" s="85">
        <f t="shared" si="8"/>
        <v>120</v>
      </c>
      <c r="Q23" s="50">
        <f t="shared" si="0"/>
        <v>0</v>
      </c>
      <c r="R23" s="70">
        <f t="shared" si="1"/>
        <v>0</v>
      </c>
      <c r="S23" s="70">
        <f t="shared" si="2"/>
        <v>0</v>
      </c>
      <c r="T23" s="70">
        <f t="shared" si="3"/>
        <v>0</v>
      </c>
      <c r="U23" s="70">
        <f t="shared" si="4"/>
        <v>0</v>
      </c>
      <c r="V23" s="70">
        <f t="shared" si="5"/>
        <v>0</v>
      </c>
      <c r="W23" s="345">
        <f t="shared" si="9"/>
        <v>0</v>
      </c>
      <c r="X23" s="345">
        <f t="shared" si="10"/>
        <v>0</v>
      </c>
      <c r="Y23" s="85"/>
      <c r="Z23" s="85">
        <v>0.6</v>
      </c>
      <c r="AA23" s="85">
        <v>0.6</v>
      </c>
      <c r="AB23" s="86">
        <f t="shared" si="6"/>
        <v>0</v>
      </c>
      <c r="AC23" s="86">
        <f t="shared" si="7"/>
        <v>0</v>
      </c>
      <c r="AD23" s="77"/>
      <c r="AE23" s="76"/>
      <c r="AF23" s="76"/>
      <c r="AG23" s="76"/>
      <c r="AH23" s="76"/>
      <c r="AI23" s="76"/>
      <c r="AJ23" s="76"/>
    </row>
    <row r="24" spans="1:36" s="11" customFormat="1" ht="21" x14ac:dyDescent="0.25">
      <c r="A24" s="85" t="s">
        <v>229</v>
      </c>
      <c r="B24" s="85" t="s">
        <v>55</v>
      </c>
      <c r="C24" s="85" t="s">
        <v>59</v>
      </c>
      <c r="D24" s="111"/>
      <c r="E24" s="111"/>
      <c r="F24" s="85">
        <v>425</v>
      </c>
      <c r="G24" s="85"/>
      <c r="H24" s="85">
        <v>2.8</v>
      </c>
      <c r="I24" s="85">
        <v>17</v>
      </c>
      <c r="J24" s="187">
        <v>6.8</v>
      </c>
      <c r="K24" s="85">
        <v>14.7</v>
      </c>
      <c r="L24" s="85">
        <v>24</v>
      </c>
      <c r="M24" s="85">
        <v>103</v>
      </c>
      <c r="N24" s="187">
        <v>41.2</v>
      </c>
      <c r="O24" s="85">
        <v>112.3</v>
      </c>
      <c r="P24" s="85">
        <f t="shared" si="8"/>
        <v>120</v>
      </c>
      <c r="Q24" s="50">
        <f t="shared" si="0"/>
        <v>0</v>
      </c>
      <c r="R24" s="70">
        <f t="shared" si="1"/>
        <v>0</v>
      </c>
      <c r="S24" s="70">
        <f t="shared" si="2"/>
        <v>0</v>
      </c>
      <c r="T24" s="70">
        <f t="shared" si="3"/>
        <v>0</v>
      </c>
      <c r="U24" s="70">
        <f t="shared" si="4"/>
        <v>0</v>
      </c>
      <c r="V24" s="70">
        <f t="shared" si="5"/>
        <v>0</v>
      </c>
      <c r="W24" s="345">
        <f t="shared" si="9"/>
        <v>0</v>
      </c>
      <c r="X24" s="345">
        <f t="shared" si="10"/>
        <v>0</v>
      </c>
      <c r="Y24" s="85"/>
      <c r="Z24" s="85">
        <v>0.6</v>
      </c>
      <c r="AA24" s="85">
        <v>0.6</v>
      </c>
      <c r="AB24" s="86">
        <f t="shared" si="6"/>
        <v>0</v>
      </c>
      <c r="AC24" s="86">
        <f t="shared" si="7"/>
        <v>0</v>
      </c>
      <c r="AD24" s="77"/>
      <c r="AE24" s="76"/>
      <c r="AF24" s="76"/>
      <c r="AG24" s="76"/>
      <c r="AH24" s="76"/>
      <c r="AI24" s="76"/>
      <c r="AJ24" s="76"/>
    </row>
    <row r="25" spans="1:36" s="11" customFormat="1" ht="21" x14ac:dyDescent="0.25">
      <c r="A25" s="85" t="s">
        <v>229</v>
      </c>
      <c r="B25" s="85" t="s">
        <v>55</v>
      </c>
      <c r="C25" s="85" t="s">
        <v>128</v>
      </c>
      <c r="D25" s="111"/>
      <c r="E25" s="111"/>
      <c r="F25" s="85">
        <v>425</v>
      </c>
      <c r="G25" s="85"/>
      <c r="H25" s="85"/>
      <c r="I25" s="85"/>
      <c r="J25" s="187"/>
      <c r="K25" s="85"/>
      <c r="L25" s="85">
        <v>26.8</v>
      </c>
      <c r="M25" s="85">
        <v>120</v>
      </c>
      <c r="N25" s="187">
        <v>48</v>
      </c>
      <c r="O25" s="85">
        <v>127</v>
      </c>
      <c r="P25" s="85">
        <f t="shared" si="8"/>
        <v>120</v>
      </c>
      <c r="Q25" s="50">
        <f t="shared" si="0"/>
        <v>0</v>
      </c>
      <c r="R25" s="70">
        <f t="shared" si="1"/>
        <v>0</v>
      </c>
      <c r="S25" s="70">
        <f t="shared" si="2"/>
        <v>0</v>
      </c>
      <c r="T25" s="70">
        <f t="shared" si="3"/>
        <v>0</v>
      </c>
      <c r="U25" s="70">
        <f t="shared" si="4"/>
        <v>0</v>
      </c>
      <c r="V25" s="70">
        <f t="shared" si="5"/>
        <v>0</v>
      </c>
      <c r="W25" s="345">
        <f t="shared" si="9"/>
        <v>0</v>
      </c>
      <c r="X25" s="345">
        <f t="shared" si="10"/>
        <v>0</v>
      </c>
      <c r="Y25" s="85"/>
      <c r="Z25" s="85">
        <v>0.6</v>
      </c>
      <c r="AA25" s="85">
        <v>0.6</v>
      </c>
      <c r="AB25" s="86">
        <f t="shared" si="6"/>
        <v>0</v>
      </c>
      <c r="AC25" s="86">
        <f t="shared" si="7"/>
        <v>0</v>
      </c>
      <c r="AD25" s="77"/>
      <c r="AE25" s="76"/>
      <c r="AF25" s="76"/>
      <c r="AG25" s="76"/>
      <c r="AH25" s="76"/>
      <c r="AI25" s="76"/>
      <c r="AJ25" s="76"/>
    </row>
    <row r="26" spans="1:36" s="11" customFormat="1" ht="21" x14ac:dyDescent="0.25">
      <c r="A26" s="85" t="s">
        <v>229</v>
      </c>
      <c r="B26" s="85" t="s">
        <v>55</v>
      </c>
      <c r="C26" s="85" t="s">
        <v>46</v>
      </c>
      <c r="D26" s="111"/>
      <c r="E26" s="111"/>
      <c r="F26" s="85">
        <v>425</v>
      </c>
      <c r="G26" s="85"/>
      <c r="H26" s="85">
        <v>16</v>
      </c>
      <c r="I26" s="85">
        <v>61</v>
      </c>
      <c r="J26" s="187">
        <v>24.4</v>
      </c>
      <c r="K26" s="85">
        <v>68</v>
      </c>
      <c r="L26" s="85">
        <v>13.9</v>
      </c>
      <c r="M26" s="85">
        <v>59</v>
      </c>
      <c r="N26" s="187">
        <v>23.6</v>
      </c>
      <c r="O26" s="85">
        <v>59</v>
      </c>
      <c r="P26" s="85">
        <f t="shared" si="8"/>
        <v>120</v>
      </c>
      <c r="Q26" s="50">
        <f t="shared" si="0"/>
        <v>0</v>
      </c>
      <c r="R26" s="70">
        <f t="shared" si="1"/>
        <v>0</v>
      </c>
      <c r="S26" s="70">
        <f t="shared" si="2"/>
        <v>0</v>
      </c>
      <c r="T26" s="70">
        <f t="shared" si="3"/>
        <v>0</v>
      </c>
      <c r="U26" s="70">
        <f t="shared" si="4"/>
        <v>0</v>
      </c>
      <c r="V26" s="70">
        <f t="shared" si="5"/>
        <v>0</v>
      </c>
      <c r="W26" s="345">
        <f t="shared" si="9"/>
        <v>0</v>
      </c>
      <c r="X26" s="345">
        <f t="shared" si="10"/>
        <v>0</v>
      </c>
      <c r="Y26" s="85"/>
      <c r="Z26" s="85">
        <v>0.6</v>
      </c>
      <c r="AA26" s="85">
        <v>0.6</v>
      </c>
      <c r="AB26" s="86">
        <f t="shared" si="6"/>
        <v>0</v>
      </c>
      <c r="AC26" s="86">
        <f t="shared" si="7"/>
        <v>0</v>
      </c>
      <c r="AD26" s="77"/>
      <c r="AE26" s="76"/>
      <c r="AF26" s="76"/>
      <c r="AG26" s="76"/>
      <c r="AH26" s="76"/>
      <c r="AI26" s="76"/>
      <c r="AJ26" s="76"/>
    </row>
    <row r="27" spans="1:36" s="11" customFormat="1" ht="21" x14ac:dyDescent="0.25">
      <c r="A27" s="85" t="s">
        <v>229</v>
      </c>
      <c r="B27" s="85" t="s">
        <v>55</v>
      </c>
      <c r="C27" s="85" t="s">
        <v>47</v>
      </c>
      <c r="D27" s="111"/>
      <c r="E27" s="111"/>
      <c r="F27" s="85">
        <v>425</v>
      </c>
      <c r="G27" s="85"/>
      <c r="H27" s="85">
        <v>9</v>
      </c>
      <c r="I27" s="85">
        <v>59</v>
      </c>
      <c r="J27" s="187">
        <v>23.6</v>
      </c>
      <c r="K27" s="85">
        <v>37.5</v>
      </c>
      <c r="L27" s="85">
        <v>21.5</v>
      </c>
      <c r="M27" s="85">
        <v>61</v>
      </c>
      <c r="N27" s="187">
        <v>24.4</v>
      </c>
      <c r="O27" s="85">
        <v>89.5</v>
      </c>
      <c r="P27" s="85">
        <f t="shared" si="8"/>
        <v>120</v>
      </c>
      <c r="Q27" s="50">
        <f t="shared" si="0"/>
        <v>0</v>
      </c>
      <c r="R27" s="70">
        <f t="shared" si="1"/>
        <v>0</v>
      </c>
      <c r="S27" s="70">
        <f t="shared" si="2"/>
        <v>0</v>
      </c>
      <c r="T27" s="70">
        <f t="shared" si="3"/>
        <v>0</v>
      </c>
      <c r="U27" s="70">
        <f t="shared" si="4"/>
        <v>0</v>
      </c>
      <c r="V27" s="70">
        <f t="shared" si="5"/>
        <v>0</v>
      </c>
      <c r="W27" s="345">
        <f t="shared" si="9"/>
        <v>0</v>
      </c>
      <c r="X27" s="345">
        <f t="shared" si="10"/>
        <v>0</v>
      </c>
      <c r="Y27" s="85"/>
      <c r="Z27" s="85">
        <v>0.6</v>
      </c>
      <c r="AA27" s="85">
        <v>0.6</v>
      </c>
      <c r="AB27" s="86">
        <f t="shared" si="6"/>
        <v>0</v>
      </c>
      <c r="AC27" s="86">
        <f t="shared" si="7"/>
        <v>0</v>
      </c>
      <c r="AD27" s="77"/>
      <c r="AE27" s="76"/>
      <c r="AF27" s="76"/>
      <c r="AG27" s="76"/>
      <c r="AH27" s="76"/>
      <c r="AI27" s="76"/>
      <c r="AJ27" s="76"/>
    </row>
    <row r="28" spans="1:36" s="11" customFormat="1" ht="21" x14ac:dyDescent="0.25">
      <c r="A28" s="85" t="s">
        <v>229</v>
      </c>
      <c r="B28" s="85" t="s">
        <v>55</v>
      </c>
      <c r="C28" s="85" t="s">
        <v>45</v>
      </c>
      <c r="D28" s="111"/>
      <c r="E28" s="111"/>
      <c r="F28" s="85">
        <v>425</v>
      </c>
      <c r="G28" s="85"/>
      <c r="H28" s="85">
        <v>26</v>
      </c>
      <c r="I28" s="85">
        <v>120</v>
      </c>
      <c r="J28" s="187">
        <v>48</v>
      </c>
      <c r="K28" s="85">
        <v>127</v>
      </c>
      <c r="L28" s="85"/>
      <c r="M28" s="85"/>
      <c r="N28" s="187"/>
      <c r="O28" s="85"/>
      <c r="P28" s="85">
        <f t="shared" si="8"/>
        <v>120</v>
      </c>
      <c r="Q28" s="50">
        <f t="shared" si="0"/>
        <v>0</v>
      </c>
      <c r="R28" s="70">
        <f t="shared" si="1"/>
        <v>0</v>
      </c>
      <c r="S28" s="70">
        <f t="shared" si="2"/>
        <v>0</v>
      </c>
      <c r="T28" s="70">
        <f t="shared" si="3"/>
        <v>0</v>
      </c>
      <c r="U28" s="70">
        <f t="shared" si="4"/>
        <v>0</v>
      </c>
      <c r="V28" s="70">
        <f t="shared" si="5"/>
        <v>0</v>
      </c>
      <c r="W28" s="345">
        <f t="shared" si="9"/>
        <v>0</v>
      </c>
      <c r="X28" s="345">
        <f t="shared" si="10"/>
        <v>0</v>
      </c>
      <c r="Y28" s="85"/>
      <c r="Z28" s="85">
        <v>0.6</v>
      </c>
      <c r="AA28" s="85">
        <v>0.6</v>
      </c>
      <c r="AB28" s="86">
        <f t="shared" si="6"/>
        <v>0</v>
      </c>
      <c r="AC28" s="86">
        <f t="shared" si="7"/>
        <v>0</v>
      </c>
      <c r="AD28" s="77"/>
      <c r="AE28" s="76"/>
      <c r="AF28" s="76"/>
      <c r="AG28" s="76"/>
      <c r="AH28" s="76"/>
      <c r="AI28" s="76"/>
      <c r="AJ28" s="76"/>
    </row>
    <row r="29" spans="1:36" s="11" customFormat="1" ht="21" x14ac:dyDescent="0.25">
      <c r="A29" s="85" t="s">
        <v>229</v>
      </c>
      <c r="B29" s="85" t="s">
        <v>55</v>
      </c>
      <c r="C29" s="85" t="s">
        <v>57</v>
      </c>
      <c r="D29" s="111"/>
      <c r="E29" s="111"/>
      <c r="F29" s="85">
        <v>425</v>
      </c>
      <c r="G29" s="85"/>
      <c r="H29" s="85">
        <v>26</v>
      </c>
      <c r="I29" s="85">
        <v>120</v>
      </c>
      <c r="J29" s="187">
        <v>48</v>
      </c>
      <c r="K29" s="85">
        <v>127</v>
      </c>
      <c r="L29" s="85"/>
      <c r="M29" s="85"/>
      <c r="N29" s="187"/>
      <c r="O29" s="85"/>
      <c r="P29" s="85">
        <f t="shared" si="8"/>
        <v>120</v>
      </c>
      <c r="Q29" s="50">
        <f t="shared" si="0"/>
        <v>0</v>
      </c>
      <c r="R29" s="70">
        <f t="shared" si="1"/>
        <v>0</v>
      </c>
      <c r="S29" s="70">
        <f t="shared" si="2"/>
        <v>0</v>
      </c>
      <c r="T29" s="70">
        <f t="shared" si="3"/>
        <v>0</v>
      </c>
      <c r="U29" s="70">
        <f t="shared" si="4"/>
        <v>0</v>
      </c>
      <c r="V29" s="70">
        <f t="shared" si="5"/>
        <v>0</v>
      </c>
      <c r="W29" s="345">
        <f t="shared" si="9"/>
        <v>0</v>
      </c>
      <c r="X29" s="345">
        <f t="shared" si="10"/>
        <v>0</v>
      </c>
      <c r="Y29" s="85"/>
      <c r="Z29" s="85">
        <v>0.6</v>
      </c>
      <c r="AA29" s="85">
        <v>0.6</v>
      </c>
      <c r="AB29" s="86">
        <f t="shared" si="6"/>
        <v>0</v>
      </c>
      <c r="AC29" s="86">
        <f t="shared" si="7"/>
        <v>0</v>
      </c>
      <c r="AD29" s="77"/>
      <c r="AE29" s="76"/>
      <c r="AF29" s="76"/>
      <c r="AG29" s="76"/>
      <c r="AH29" s="76"/>
      <c r="AI29" s="76"/>
      <c r="AJ29" s="76"/>
    </row>
    <row r="30" spans="1:36" s="11" customFormat="1" ht="21" x14ac:dyDescent="0.25">
      <c r="A30" s="85" t="s">
        <v>229</v>
      </c>
      <c r="B30" s="85" t="s">
        <v>55</v>
      </c>
      <c r="C30" s="85" t="s">
        <v>49</v>
      </c>
      <c r="D30" s="111"/>
      <c r="E30" s="111"/>
      <c r="F30" s="85">
        <v>425</v>
      </c>
      <c r="G30" s="85"/>
      <c r="H30" s="85">
        <v>2.8</v>
      </c>
      <c r="I30" s="85">
        <v>17</v>
      </c>
      <c r="J30" s="187">
        <v>6.8</v>
      </c>
      <c r="K30" s="85">
        <v>11.9</v>
      </c>
      <c r="L30" s="85">
        <v>24</v>
      </c>
      <c r="M30" s="85">
        <v>103</v>
      </c>
      <c r="N30" s="187">
        <v>41.2</v>
      </c>
      <c r="O30" s="85">
        <v>115.1</v>
      </c>
      <c r="P30" s="85">
        <f t="shared" si="8"/>
        <v>120</v>
      </c>
      <c r="Q30" s="50">
        <f t="shared" si="0"/>
        <v>0</v>
      </c>
      <c r="R30" s="70">
        <f t="shared" si="1"/>
        <v>0</v>
      </c>
      <c r="S30" s="70">
        <f t="shared" si="2"/>
        <v>0</v>
      </c>
      <c r="T30" s="70">
        <f t="shared" si="3"/>
        <v>0</v>
      </c>
      <c r="U30" s="70">
        <f t="shared" si="4"/>
        <v>0</v>
      </c>
      <c r="V30" s="70">
        <f t="shared" si="5"/>
        <v>0</v>
      </c>
      <c r="W30" s="345">
        <f t="shared" si="9"/>
        <v>0</v>
      </c>
      <c r="X30" s="345">
        <f t="shared" si="10"/>
        <v>0</v>
      </c>
      <c r="Y30" s="85"/>
      <c r="Z30" s="85">
        <v>0.6</v>
      </c>
      <c r="AA30" s="85">
        <v>0.6</v>
      </c>
      <c r="AB30" s="86">
        <f t="shared" si="6"/>
        <v>0</v>
      </c>
      <c r="AC30" s="86">
        <f t="shared" si="7"/>
        <v>0</v>
      </c>
      <c r="AD30" s="77"/>
      <c r="AE30" s="76"/>
      <c r="AF30" s="76"/>
      <c r="AG30" s="76"/>
      <c r="AH30" s="76"/>
      <c r="AI30" s="76"/>
      <c r="AJ30" s="76"/>
    </row>
    <row r="31" spans="1:36" s="11" customFormat="1" ht="21" x14ac:dyDescent="0.25">
      <c r="A31" s="85" t="s">
        <v>229</v>
      </c>
      <c r="B31" s="85" t="s">
        <v>55</v>
      </c>
      <c r="C31" s="85" t="s">
        <v>126</v>
      </c>
      <c r="D31" s="111"/>
      <c r="E31" s="111"/>
      <c r="F31" s="85">
        <v>425</v>
      </c>
      <c r="G31" s="85"/>
      <c r="H31" s="85"/>
      <c r="I31" s="85"/>
      <c r="J31" s="187"/>
      <c r="K31" s="85"/>
      <c r="L31" s="85">
        <v>26.8</v>
      </c>
      <c r="M31" s="85">
        <v>120</v>
      </c>
      <c r="N31" s="187">
        <v>48</v>
      </c>
      <c r="O31" s="85">
        <v>127</v>
      </c>
      <c r="P31" s="85">
        <f t="shared" si="8"/>
        <v>120</v>
      </c>
      <c r="Q31" s="50">
        <f t="shared" si="0"/>
        <v>0</v>
      </c>
      <c r="R31" s="70">
        <f t="shared" si="1"/>
        <v>0</v>
      </c>
      <c r="S31" s="70">
        <f t="shared" si="2"/>
        <v>0</v>
      </c>
      <c r="T31" s="70">
        <f t="shared" si="3"/>
        <v>0</v>
      </c>
      <c r="U31" s="70">
        <f t="shared" si="4"/>
        <v>0</v>
      </c>
      <c r="V31" s="70">
        <f t="shared" si="5"/>
        <v>0</v>
      </c>
      <c r="W31" s="345">
        <f t="shared" si="9"/>
        <v>0</v>
      </c>
      <c r="X31" s="345">
        <f t="shared" si="10"/>
        <v>0</v>
      </c>
      <c r="Y31" s="85"/>
      <c r="Z31" s="85">
        <v>0.6</v>
      </c>
      <c r="AA31" s="85">
        <v>0.6</v>
      </c>
      <c r="AB31" s="86">
        <f t="shared" si="6"/>
        <v>0</v>
      </c>
      <c r="AC31" s="86">
        <f t="shared" si="7"/>
        <v>0</v>
      </c>
      <c r="AD31" s="77"/>
      <c r="AE31" s="76"/>
      <c r="AF31" s="76"/>
      <c r="AG31" s="76"/>
      <c r="AH31" s="76"/>
      <c r="AI31" s="76"/>
      <c r="AJ31" s="76"/>
    </row>
    <row r="32" spans="1:36" s="11" customFormat="1" ht="21" x14ac:dyDescent="0.25">
      <c r="A32" s="85" t="s">
        <v>229</v>
      </c>
      <c r="B32" s="85" t="s">
        <v>55</v>
      </c>
      <c r="C32" s="85" t="s">
        <v>58</v>
      </c>
      <c r="D32" s="111"/>
      <c r="E32" s="111"/>
      <c r="F32" s="85">
        <v>425</v>
      </c>
      <c r="G32" s="85"/>
      <c r="H32" s="85">
        <v>13</v>
      </c>
      <c r="I32" s="85">
        <v>61</v>
      </c>
      <c r="J32" s="187">
        <v>24.4</v>
      </c>
      <c r="K32" s="85">
        <v>40.9</v>
      </c>
      <c r="L32" s="85">
        <v>27.4</v>
      </c>
      <c r="M32" s="85">
        <v>59</v>
      </c>
      <c r="N32" s="187">
        <v>23.6</v>
      </c>
      <c r="O32" s="85">
        <v>86.1</v>
      </c>
      <c r="P32" s="85">
        <f t="shared" si="8"/>
        <v>120</v>
      </c>
      <c r="Q32" s="50">
        <f t="shared" si="0"/>
        <v>0</v>
      </c>
      <c r="R32" s="70">
        <f t="shared" si="1"/>
        <v>0</v>
      </c>
      <c r="S32" s="70">
        <f t="shared" si="2"/>
        <v>0</v>
      </c>
      <c r="T32" s="70">
        <f t="shared" si="3"/>
        <v>0</v>
      </c>
      <c r="U32" s="70">
        <f t="shared" si="4"/>
        <v>0</v>
      </c>
      <c r="V32" s="70">
        <f t="shared" si="5"/>
        <v>0</v>
      </c>
      <c r="W32" s="345">
        <f t="shared" si="9"/>
        <v>0</v>
      </c>
      <c r="X32" s="345">
        <f t="shared" si="10"/>
        <v>0</v>
      </c>
      <c r="Y32" s="85"/>
      <c r="Z32" s="85">
        <v>0.6</v>
      </c>
      <c r="AA32" s="85">
        <v>0.6</v>
      </c>
      <c r="AB32" s="86">
        <f t="shared" si="6"/>
        <v>0</v>
      </c>
      <c r="AC32" s="86">
        <f t="shared" si="7"/>
        <v>0</v>
      </c>
      <c r="AD32" s="77"/>
      <c r="AE32" s="76"/>
      <c r="AF32" s="76"/>
      <c r="AG32" s="76"/>
      <c r="AH32" s="76"/>
      <c r="AI32" s="76"/>
      <c r="AJ32" s="76"/>
    </row>
    <row r="33" spans="1:36" s="11" customFormat="1" ht="21" x14ac:dyDescent="0.25">
      <c r="A33" s="85" t="s">
        <v>235</v>
      </c>
      <c r="B33" s="85" t="s">
        <v>55</v>
      </c>
      <c r="C33" s="85" t="s">
        <v>56</v>
      </c>
      <c r="D33" s="111"/>
      <c r="E33" s="111"/>
      <c r="F33" s="85">
        <v>450</v>
      </c>
      <c r="G33" s="85"/>
      <c r="H33" s="85">
        <v>3.2</v>
      </c>
      <c r="I33" s="85">
        <v>26</v>
      </c>
      <c r="J33" s="187">
        <v>10.4</v>
      </c>
      <c r="K33" s="85">
        <v>18.2</v>
      </c>
      <c r="L33" s="85">
        <v>23.5</v>
      </c>
      <c r="M33" s="85">
        <v>94</v>
      </c>
      <c r="N33" s="187">
        <v>37.6</v>
      </c>
      <c r="O33" s="85">
        <v>108.8</v>
      </c>
      <c r="P33" s="85">
        <f t="shared" si="8"/>
        <v>120</v>
      </c>
      <c r="Q33" s="50">
        <f t="shared" si="0"/>
        <v>0</v>
      </c>
      <c r="R33" s="70">
        <f t="shared" si="1"/>
        <v>0</v>
      </c>
      <c r="S33" s="70">
        <f t="shared" si="2"/>
        <v>0</v>
      </c>
      <c r="T33" s="70">
        <f t="shared" si="3"/>
        <v>0</v>
      </c>
      <c r="U33" s="70">
        <f t="shared" si="4"/>
        <v>0</v>
      </c>
      <c r="V33" s="70">
        <f t="shared" si="5"/>
        <v>0</v>
      </c>
      <c r="W33" s="345">
        <f t="shared" si="9"/>
        <v>0</v>
      </c>
      <c r="X33" s="345">
        <f t="shared" si="10"/>
        <v>0</v>
      </c>
      <c r="Y33" s="85"/>
      <c r="Z33" s="85">
        <v>0.6</v>
      </c>
      <c r="AA33" s="85">
        <v>0.6</v>
      </c>
      <c r="AB33" s="86">
        <f t="shared" si="6"/>
        <v>0</v>
      </c>
      <c r="AC33" s="86">
        <f t="shared" si="7"/>
        <v>0</v>
      </c>
      <c r="AD33" s="77"/>
      <c r="AE33" s="76"/>
      <c r="AF33" s="76"/>
      <c r="AG33" s="76"/>
      <c r="AH33" s="76"/>
      <c r="AI33" s="76"/>
      <c r="AJ33" s="76"/>
    </row>
    <row r="34" spans="1:36" s="11" customFormat="1" ht="21" x14ac:dyDescent="0.25">
      <c r="A34" s="85" t="s">
        <v>235</v>
      </c>
      <c r="B34" s="85" t="s">
        <v>55</v>
      </c>
      <c r="C34" s="85" t="s">
        <v>127</v>
      </c>
      <c r="D34" s="111"/>
      <c r="E34" s="111"/>
      <c r="F34" s="85">
        <v>450</v>
      </c>
      <c r="G34" s="85"/>
      <c r="H34" s="85"/>
      <c r="I34" s="85"/>
      <c r="J34" s="187"/>
      <c r="K34" s="85"/>
      <c r="L34" s="85">
        <v>26.7</v>
      </c>
      <c r="M34" s="85">
        <v>120</v>
      </c>
      <c r="N34" s="187">
        <v>48</v>
      </c>
      <c r="O34" s="85">
        <v>127</v>
      </c>
      <c r="P34" s="85">
        <f t="shared" si="8"/>
        <v>120</v>
      </c>
      <c r="Q34" s="50">
        <f t="shared" si="0"/>
        <v>0</v>
      </c>
      <c r="R34" s="70">
        <f t="shared" si="1"/>
        <v>0</v>
      </c>
      <c r="S34" s="70">
        <f t="shared" si="2"/>
        <v>0</v>
      </c>
      <c r="T34" s="70">
        <f t="shared" si="3"/>
        <v>0</v>
      </c>
      <c r="U34" s="70">
        <f t="shared" si="4"/>
        <v>0</v>
      </c>
      <c r="V34" s="70">
        <f t="shared" si="5"/>
        <v>0</v>
      </c>
      <c r="W34" s="345">
        <f t="shared" si="9"/>
        <v>0</v>
      </c>
      <c r="X34" s="345">
        <f t="shared" si="10"/>
        <v>0</v>
      </c>
      <c r="Y34" s="85"/>
      <c r="Z34" s="85">
        <v>0.6</v>
      </c>
      <c r="AA34" s="85">
        <v>0.6</v>
      </c>
      <c r="AB34" s="86">
        <f t="shared" si="6"/>
        <v>0</v>
      </c>
      <c r="AC34" s="86">
        <f t="shared" si="7"/>
        <v>0</v>
      </c>
      <c r="AD34" s="77"/>
      <c r="AE34" s="76"/>
      <c r="AF34" s="76"/>
      <c r="AG34" s="76"/>
      <c r="AH34" s="76"/>
      <c r="AI34" s="76"/>
      <c r="AJ34" s="76"/>
    </row>
    <row r="35" spans="1:36" s="11" customFormat="1" ht="21" x14ac:dyDescent="0.25">
      <c r="A35" s="85" t="s">
        <v>235</v>
      </c>
      <c r="B35" s="85" t="s">
        <v>55</v>
      </c>
      <c r="C35" s="85" t="s">
        <v>59</v>
      </c>
      <c r="D35" s="111"/>
      <c r="E35" s="111"/>
      <c r="F35" s="85">
        <v>450</v>
      </c>
      <c r="G35" s="85"/>
      <c r="H35" s="85">
        <v>2.8</v>
      </c>
      <c r="I35" s="85">
        <v>17</v>
      </c>
      <c r="J35" s="187">
        <v>6.8</v>
      </c>
      <c r="K35" s="85">
        <v>14.7</v>
      </c>
      <c r="L35" s="85">
        <v>24</v>
      </c>
      <c r="M35" s="85">
        <v>103</v>
      </c>
      <c r="N35" s="187">
        <v>41.2</v>
      </c>
      <c r="O35" s="85">
        <v>112.3</v>
      </c>
      <c r="P35" s="85">
        <f t="shared" si="8"/>
        <v>120</v>
      </c>
      <c r="Q35" s="50">
        <f t="shared" si="0"/>
        <v>0</v>
      </c>
      <c r="R35" s="70">
        <f t="shared" si="1"/>
        <v>0</v>
      </c>
      <c r="S35" s="70">
        <f t="shared" si="2"/>
        <v>0</v>
      </c>
      <c r="T35" s="70">
        <f t="shared" si="3"/>
        <v>0</v>
      </c>
      <c r="U35" s="70">
        <f t="shared" si="4"/>
        <v>0</v>
      </c>
      <c r="V35" s="70">
        <f t="shared" si="5"/>
        <v>0</v>
      </c>
      <c r="W35" s="345">
        <f t="shared" si="9"/>
        <v>0</v>
      </c>
      <c r="X35" s="345">
        <f t="shared" si="10"/>
        <v>0</v>
      </c>
      <c r="Y35" s="85"/>
      <c r="Z35" s="85">
        <v>0.6</v>
      </c>
      <c r="AA35" s="85">
        <v>0.6</v>
      </c>
      <c r="AB35" s="86">
        <f t="shared" si="6"/>
        <v>0</v>
      </c>
      <c r="AC35" s="86">
        <f t="shared" si="7"/>
        <v>0</v>
      </c>
      <c r="AD35" s="77"/>
      <c r="AE35" s="76"/>
      <c r="AF35" s="76"/>
      <c r="AG35" s="76"/>
      <c r="AH35" s="76"/>
      <c r="AI35" s="76"/>
      <c r="AJ35" s="76"/>
    </row>
    <row r="36" spans="1:36" s="11" customFormat="1" ht="21" x14ac:dyDescent="0.25">
      <c r="A36" s="85" t="s">
        <v>235</v>
      </c>
      <c r="B36" s="85" t="s">
        <v>55</v>
      </c>
      <c r="C36" s="85" t="s">
        <v>128</v>
      </c>
      <c r="D36" s="111"/>
      <c r="E36" s="111"/>
      <c r="F36" s="85">
        <v>450</v>
      </c>
      <c r="G36" s="85"/>
      <c r="H36" s="85"/>
      <c r="I36" s="85"/>
      <c r="J36" s="187"/>
      <c r="K36" s="85"/>
      <c r="L36" s="85">
        <v>26.8</v>
      </c>
      <c r="M36" s="85">
        <v>120</v>
      </c>
      <c r="N36" s="187">
        <v>48</v>
      </c>
      <c r="O36" s="85">
        <v>127</v>
      </c>
      <c r="P36" s="85">
        <f t="shared" si="8"/>
        <v>120</v>
      </c>
      <c r="Q36" s="50">
        <f t="shared" si="0"/>
        <v>0</v>
      </c>
      <c r="R36" s="70">
        <f t="shared" si="1"/>
        <v>0</v>
      </c>
      <c r="S36" s="70">
        <f t="shared" si="2"/>
        <v>0</v>
      </c>
      <c r="T36" s="70">
        <f t="shared" si="3"/>
        <v>0</v>
      </c>
      <c r="U36" s="70">
        <f t="shared" si="4"/>
        <v>0</v>
      </c>
      <c r="V36" s="70">
        <f t="shared" si="5"/>
        <v>0</v>
      </c>
      <c r="W36" s="345">
        <f t="shared" si="9"/>
        <v>0</v>
      </c>
      <c r="X36" s="345">
        <f t="shared" si="10"/>
        <v>0</v>
      </c>
      <c r="Y36" s="85"/>
      <c r="Z36" s="85">
        <v>0.6</v>
      </c>
      <c r="AA36" s="85">
        <v>0.6</v>
      </c>
      <c r="AB36" s="86">
        <f t="shared" si="6"/>
        <v>0</v>
      </c>
      <c r="AC36" s="86">
        <f t="shared" si="7"/>
        <v>0</v>
      </c>
      <c r="AD36" s="77"/>
      <c r="AE36" s="76"/>
      <c r="AF36" s="76"/>
      <c r="AG36" s="76"/>
      <c r="AH36" s="76"/>
      <c r="AI36" s="76"/>
      <c r="AJ36" s="76"/>
    </row>
    <row r="37" spans="1:36" s="11" customFormat="1" ht="21" x14ac:dyDescent="0.25">
      <c r="A37" s="85" t="s">
        <v>235</v>
      </c>
      <c r="B37" s="85" t="s">
        <v>55</v>
      </c>
      <c r="C37" s="85" t="s">
        <v>46</v>
      </c>
      <c r="D37" s="111"/>
      <c r="E37" s="111"/>
      <c r="F37" s="85">
        <v>450</v>
      </c>
      <c r="G37" s="85"/>
      <c r="H37" s="85">
        <v>16</v>
      </c>
      <c r="I37" s="85">
        <v>61</v>
      </c>
      <c r="J37" s="187">
        <v>24.4</v>
      </c>
      <c r="K37" s="85">
        <v>68</v>
      </c>
      <c r="L37" s="85">
        <v>13.9</v>
      </c>
      <c r="M37" s="85">
        <v>59</v>
      </c>
      <c r="N37" s="187">
        <v>23.6</v>
      </c>
      <c r="O37" s="85">
        <v>59</v>
      </c>
      <c r="P37" s="85">
        <f t="shared" si="8"/>
        <v>120</v>
      </c>
      <c r="Q37" s="50">
        <f t="shared" si="0"/>
        <v>0</v>
      </c>
      <c r="R37" s="70">
        <f t="shared" si="1"/>
        <v>0</v>
      </c>
      <c r="S37" s="70">
        <f t="shared" si="2"/>
        <v>0</v>
      </c>
      <c r="T37" s="70">
        <f t="shared" si="3"/>
        <v>0</v>
      </c>
      <c r="U37" s="70">
        <f t="shared" si="4"/>
        <v>0</v>
      </c>
      <c r="V37" s="70">
        <f t="shared" si="5"/>
        <v>0</v>
      </c>
      <c r="W37" s="345">
        <f t="shared" si="9"/>
        <v>0</v>
      </c>
      <c r="X37" s="345">
        <f t="shared" si="10"/>
        <v>0</v>
      </c>
      <c r="Y37" s="85"/>
      <c r="Z37" s="85">
        <v>0.6</v>
      </c>
      <c r="AA37" s="85">
        <v>0.6</v>
      </c>
      <c r="AB37" s="86">
        <f t="shared" si="6"/>
        <v>0</v>
      </c>
      <c r="AC37" s="86">
        <f t="shared" si="7"/>
        <v>0</v>
      </c>
      <c r="AD37" s="77"/>
      <c r="AE37" s="76"/>
      <c r="AF37" s="76"/>
      <c r="AG37" s="76"/>
      <c r="AH37" s="76"/>
      <c r="AI37" s="76"/>
      <c r="AJ37" s="76"/>
    </row>
    <row r="38" spans="1:36" s="11" customFormat="1" ht="21" x14ac:dyDescent="0.25">
      <c r="A38" s="85" t="s">
        <v>235</v>
      </c>
      <c r="B38" s="85" t="s">
        <v>55</v>
      </c>
      <c r="C38" s="85" t="s">
        <v>47</v>
      </c>
      <c r="D38" s="111"/>
      <c r="E38" s="111"/>
      <c r="F38" s="85">
        <v>450</v>
      </c>
      <c r="G38" s="85"/>
      <c r="H38" s="85">
        <v>9</v>
      </c>
      <c r="I38" s="85">
        <v>59</v>
      </c>
      <c r="J38" s="187">
        <v>23.6</v>
      </c>
      <c r="K38" s="85">
        <v>37.5</v>
      </c>
      <c r="L38" s="85">
        <v>21.5</v>
      </c>
      <c r="M38" s="85">
        <v>61</v>
      </c>
      <c r="N38" s="187">
        <v>24.4</v>
      </c>
      <c r="O38" s="85">
        <v>89.5</v>
      </c>
      <c r="P38" s="85">
        <f t="shared" si="8"/>
        <v>120</v>
      </c>
      <c r="Q38" s="50">
        <f t="shared" si="0"/>
        <v>0</v>
      </c>
      <c r="R38" s="70">
        <f t="shared" si="1"/>
        <v>0</v>
      </c>
      <c r="S38" s="70">
        <f t="shared" si="2"/>
        <v>0</v>
      </c>
      <c r="T38" s="70">
        <f t="shared" si="3"/>
        <v>0</v>
      </c>
      <c r="U38" s="70">
        <f t="shared" si="4"/>
        <v>0</v>
      </c>
      <c r="V38" s="70">
        <f t="shared" si="5"/>
        <v>0</v>
      </c>
      <c r="W38" s="345">
        <f t="shared" si="9"/>
        <v>0</v>
      </c>
      <c r="X38" s="345">
        <f t="shared" si="10"/>
        <v>0</v>
      </c>
      <c r="Y38" s="85"/>
      <c r="Z38" s="85">
        <v>0.6</v>
      </c>
      <c r="AA38" s="85">
        <v>0.6</v>
      </c>
      <c r="AB38" s="86">
        <f t="shared" si="6"/>
        <v>0</v>
      </c>
      <c r="AC38" s="86">
        <f t="shared" si="7"/>
        <v>0</v>
      </c>
      <c r="AD38" s="77"/>
      <c r="AE38" s="76"/>
      <c r="AF38" s="76"/>
      <c r="AG38" s="76"/>
      <c r="AH38" s="76"/>
      <c r="AI38" s="76"/>
      <c r="AJ38" s="76"/>
    </row>
    <row r="39" spans="1:36" s="11" customFormat="1" ht="21" x14ac:dyDescent="0.25">
      <c r="A39" s="85" t="s">
        <v>235</v>
      </c>
      <c r="B39" s="85" t="s">
        <v>55</v>
      </c>
      <c r="C39" s="85" t="s">
        <v>45</v>
      </c>
      <c r="D39" s="111"/>
      <c r="E39" s="111"/>
      <c r="F39" s="85">
        <v>450</v>
      </c>
      <c r="G39" s="85"/>
      <c r="H39" s="85">
        <v>26</v>
      </c>
      <c r="I39" s="85">
        <v>120</v>
      </c>
      <c r="J39" s="187">
        <v>48</v>
      </c>
      <c r="K39" s="85">
        <v>127</v>
      </c>
      <c r="L39" s="85"/>
      <c r="M39" s="85"/>
      <c r="N39" s="187"/>
      <c r="O39" s="85"/>
      <c r="P39" s="85">
        <f t="shared" si="8"/>
        <v>120</v>
      </c>
      <c r="Q39" s="50">
        <f t="shared" si="0"/>
        <v>0</v>
      </c>
      <c r="R39" s="70">
        <f t="shared" si="1"/>
        <v>0</v>
      </c>
      <c r="S39" s="70">
        <f t="shared" si="2"/>
        <v>0</v>
      </c>
      <c r="T39" s="70">
        <f t="shared" si="3"/>
        <v>0</v>
      </c>
      <c r="U39" s="70">
        <f t="shared" si="4"/>
        <v>0</v>
      </c>
      <c r="V39" s="70">
        <f t="shared" si="5"/>
        <v>0</v>
      </c>
      <c r="W39" s="345">
        <f t="shared" si="9"/>
        <v>0</v>
      </c>
      <c r="X39" s="345">
        <f t="shared" si="10"/>
        <v>0</v>
      </c>
      <c r="Y39" s="85"/>
      <c r="Z39" s="85">
        <v>0.6</v>
      </c>
      <c r="AA39" s="85">
        <v>0.6</v>
      </c>
      <c r="AB39" s="86">
        <f t="shared" si="6"/>
        <v>0</v>
      </c>
      <c r="AC39" s="86">
        <f t="shared" si="7"/>
        <v>0</v>
      </c>
      <c r="AD39" s="77"/>
      <c r="AE39" s="76"/>
      <c r="AF39" s="76"/>
      <c r="AG39" s="76"/>
      <c r="AH39" s="76"/>
      <c r="AI39" s="76"/>
      <c r="AJ39" s="76"/>
    </row>
    <row r="40" spans="1:36" s="11" customFormat="1" ht="21" x14ac:dyDescent="0.25">
      <c r="A40" s="85" t="s">
        <v>235</v>
      </c>
      <c r="B40" s="85" t="s">
        <v>55</v>
      </c>
      <c r="C40" s="85" t="s">
        <v>57</v>
      </c>
      <c r="D40" s="111"/>
      <c r="E40" s="111"/>
      <c r="F40" s="85">
        <v>450</v>
      </c>
      <c r="G40" s="85"/>
      <c r="H40" s="85">
        <v>26</v>
      </c>
      <c r="I40" s="85">
        <v>120</v>
      </c>
      <c r="J40" s="187">
        <v>48</v>
      </c>
      <c r="K40" s="85">
        <v>127</v>
      </c>
      <c r="L40" s="85"/>
      <c r="M40" s="85"/>
      <c r="N40" s="187"/>
      <c r="O40" s="85"/>
      <c r="P40" s="85">
        <f t="shared" si="8"/>
        <v>120</v>
      </c>
      <c r="Q40" s="50">
        <f t="shared" ref="Q40:Q72" si="11">IF(E40="SI", D40*F40/1000*L40, 0)</f>
        <v>0</v>
      </c>
      <c r="R40" s="70">
        <f t="shared" ref="R40:R65" si="12">(D40*F40/1000*H40)+Q40</f>
        <v>0</v>
      </c>
      <c r="S40" s="70">
        <f t="shared" ref="S40:S72" si="13">(D40*F40/1000*L40)-Q40</f>
        <v>0</v>
      </c>
      <c r="T40" s="70">
        <f t="shared" ref="T40:T72" si="14">IF(Q40=0,I40*D40*F40/1000,((I40*D40*F40/1000)+(M40*D40*F40/1000)))</f>
        <v>0</v>
      </c>
      <c r="U40" s="70">
        <f t="shared" ref="U40:U72" si="15">IF(Q40=0, M40*D40*F40/1000, 0)</f>
        <v>0</v>
      </c>
      <c r="V40" s="70">
        <f t="shared" ref="V40:V72" si="16">D40*F40/1000</f>
        <v>0</v>
      </c>
      <c r="W40" s="345">
        <f t="shared" si="9"/>
        <v>0</v>
      </c>
      <c r="X40" s="345">
        <f t="shared" si="10"/>
        <v>0</v>
      </c>
      <c r="Y40" s="85"/>
      <c r="Z40" s="85">
        <v>0.6</v>
      </c>
      <c r="AA40" s="85">
        <v>0.6</v>
      </c>
      <c r="AB40" s="86">
        <f t="shared" ref="AB40:AB72" si="17">Z40*D40</f>
        <v>0</v>
      </c>
      <c r="AC40" s="86">
        <f t="shared" ref="AC40:AC72" si="18">AA40*D40</f>
        <v>0</v>
      </c>
      <c r="AD40" s="77"/>
      <c r="AE40" s="76"/>
      <c r="AF40" s="76"/>
      <c r="AG40" s="76"/>
      <c r="AH40" s="76"/>
      <c r="AI40" s="76"/>
      <c r="AJ40" s="76"/>
    </row>
    <row r="41" spans="1:36" s="11" customFormat="1" ht="21" x14ac:dyDescent="0.25">
      <c r="A41" s="85" t="s">
        <v>235</v>
      </c>
      <c r="B41" s="85" t="s">
        <v>55</v>
      </c>
      <c r="C41" s="85" t="s">
        <v>49</v>
      </c>
      <c r="D41" s="111"/>
      <c r="E41" s="111"/>
      <c r="F41" s="85">
        <v>450</v>
      </c>
      <c r="G41" s="85"/>
      <c r="H41" s="85">
        <v>2.8</v>
      </c>
      <c r="I41" s="85">
        <v>17</v>
      </c>
      <c r="J41" s="187">
        <v>6.8</v>
      </c>
      <c r="K41" s="85">
        <v>11.9</v>
      </c>
      <c r="L41" s="85">
        <v>24</v>
      </c>
      <c r="M41" s="85">
        <v>103</v>
      </c>
      <c r="N41" s="187">
        <v>41.2</v>
      </c>
      <c r="O41" s="85">
        <v>115.1</v>
      </c>
      <c r="P41" s="85">
        <f t="shared" si="8"/>
        <v>120</v>
      </c>
      <c r="Q41" s="50">
        <f t="shared" si="11"/>
        <v>0</v>
      </c>
      <c r="R41" s="70">
        <f t="shared" si="12"/>
        <v>0</v>
      </c>
      <c r="S41" s="70">
        <f t="shared" si="13"/>
        <v>0</v>
      </c>
      <c r="T41" s="70">
        <f t="shared" si="14"/>
        <v>0</v>
      </c>
      <c r="U41" s="70">
        <f t="shared" si="15"/>
        <v>0</v>
      </c>
      <c r="V41" s="70">
        <f t="shared" si="16"/>
        <v>0</v>
      </c>
      <c r="W41" s="345">
        <f t="shared" si="9"/>
        <v>0</v>
      </c>
      <c r="X41" s="345">
        <f t="shared" si="10"/>
        <v>0</v>
      </c>
      <c r="Y41" s="85"/>
      <c r="Z41" s="85">
        <v>0.6</v>
      </c>
      <c r="AA41" s="85">
        <v>0.6</v>
      </c>
      <c r="AB41" s="86">
        <f t="shared" si="17"/>
        <v>0</v>
      </c>
      <c r="AC41" s="86">
        <f t="shared" si="18"/>
        <v>0</v>
      </c>
      <c r="AD41" s="77"/>
      <c r="AE41" s="76"/>
      <c r="AF41" s="76"/>
      <c r="AG41" s="76"/>
      <c r="AH41" s="76"/>
      <c r="AI41" s="76"/>
      <c r="AJ41" s="76"/>
    </row>
    <row r="42" spans="1:36" s="11" customFormat="1" ht="21" x14ac:dyDescent="0.25">
      <c r="A42" s="85" t="s">
        <v>235</v>
      </c>
      <c r="B42" s="85" t="s">
        <v>55</v>
      </c>
      <c r="C42" s="85" t="s">
        <v>126</v>
      </c>
      <c r="D42" s="111"/>
      <c r="E42" s="111"/>
      <c r="F42" s="85">
        <v>450</v>
      </c>
      <c r="G42" s="85"/>
      <c r="H42" s="85"/>
      <c r="I42" s="85"/>
      <c r="J42" s="187"/>
      <c r="K42" s="85"/>
      <c r="L42" s="85">
        <v>26.8</v>
      </c>
      <c r="M42" s="85">
        <v>120</v>
      </c>
      <c r="N42" s="187">
        <v>48</v>
      </c>
      <c r="O42" s="85">
        <v>127</v>
      </c>
      <c r="P42" s="85">
        <f t="shared" si="8"/>
        <v>120</v>
      </c>
      <c r="Q42" s="50">
        <f t="shared" si="11"/>
        <v>0</v>
      </c>
      <c r="R42" s="70">
        <f t="shared" si="12"/>
        <v>0</v>
      </c>
      <c r="S42" s="70">
        <f t="shared" si="13"/>
        <v>0</v>
      </c>
      <c r="T42" s="70">
        <f t="shared" si="14"/>
        <v>0</v>
      </c>
      <c r="U42" s="70">
        <f t="shared" si="15"/>
        <v>0</v>
      </c>
      <c r="V42" s="70">
        <f t="shared" si="16"/>
        <v>0</v>
      </c>
      <c r="W42" s="345">
        <f t="shared" si="9"/>
        <v>0</v>
      </c>
      <c r="X42" s="345">
        <f t="shared" si="10"/>
        <v>0</v>
      </c>
      <c r="Y42" s="85"/>
      <c r="Z42" s="85">
        <v>0.6</v>
      </c>
      <c r="AA42" s="85">
        <v>0.6</v>
      </c>
      <c r="AB42" s="86">
        <f t="shared" si="17"/>
        <v>0</v>
      </c>
      <c r="AC42" s="86">
        <f t="shared" si="18"/>
        <v>0</v>
      </c>
      <c r="AD42" s="77"/>
      <c r="AE42" s="76"/>
      <c r="AF42" s="76"/>
      <c r="AG42" s="76"/>
      <c r="AH42" s="76"/>
      <c r="AI42" s="76"/>
      <c r="AJ42" s="76"/>
    </row>
    <row r="43" spans="1:36" s="11" customFormat="1" ht="21" x14ac:dyDescent="0.25">
      <c r="A43" s="85" t="s">
        <v>235</v>
      </c>
      <c r="B43" s="85" t="s">
        <v>55</v>
      </c>
      <c r="C43" s="85" t="s">
        <v>58</v>
      </c>
      <c r="D43" s="111"/>
      <c r="E43" s="111"/>
      <c r="F43" s="85">
        <v>450</v>
      </c>
      <c r="G43" s="85"/>
      <c r="H43" s="85">
        <v>13</v>
      </c>
      <c r="I43" s="85">
        <v>61</v>
      </c>
      <c r="J43" s="187">
        <v>24.4</v>
      </c>
      <c r="K43" s="85">
        <v>40.9</v>
      </c>
      <c r="L43" s="85">
        <v>27.4</v>
      </c>
      <c r="M43" s="85">
        <v>59</v>
      </c>
      <c r="N43" s="187">
        <v>23.6</v>
      </c>
      <c r="O43" s="85">
        <v>86.1</v>
      </c>
      <c r="P43" s="85">
        <f t="shared" si="8"/>
        <v>120</v>
      </c>
      <c r="Q43" s="50">
        <f t="shared" si="11"/>
        <v>0</v>
      </c>
      <c r="R43" s="70">
        <f t="shared" si="12"/>
        <v>0</v>
      </c>
      <c r="S43" s="70">
        <f t="shared" si="13"/>
        <v>0</v>
      </c>
      <c r="T43" s="70">
        <f t="shared" si="14"/>
        <v>0</v>
      </c>
      <c r="U43" s="70">
        <f t="shared" si="15"/>
        <v>0</v>
      </c>
      <c r="V43" s="70">
        <f t="shared" si="16"/>
        <v>0</v>
      </c>
      <c r="W43" s="345">
        <f t="shared" si="9"/>
        <v>0</v>
      </c>
      <c r="X43" s="345">
        <f t="shared" si="10"/>
        <v>0</v>
      </c>
      <c r="Y43" s="85"/>
      <c r="Z43" s="85">
        <v>0.6</v>
      </c>
      <c r="AA43" s="85">
        <v>0.6</v>
      </c>
      <c r="AB43" s="86">
        <f t="shared" si="17"/>
        <v>0</v>
      </c>
      <c r="AC43" s="86">
        <f t="shared" si="18"/>
        <v>0</v>
      </c>
      <c r="AD43" s="77"/>
      <c r="AE43" s="76"/>
      <c r="AF43" s="76"/>
      <c r="AG43" s="76"/>
      <c r="AH43" s="76"/>
      <c r="AI43" s="76"/>
      <c r="AJ43" s="76"/>
    </row>
    <row r="44" spans="1:36" s="11" customFormat="1" ht="21" x14ac:dyDescent="0.25">
      <c r="A44" s="85" t="s">
        <v>232</v>
      </c>
      <c r="B44" s="85" t="s">
        <v>55</v>
      </c>
      <c r="C44" s="85" t="s">
        <v>56</v>
      </c>
      <c r="D44" s="111"/>
      <c r="E44" s="111"/>
      <c r="F44" s="85">
        <v>600</v>
      </c>
      <c r="G44" s="85"/>
      <c r="H44" s="85">
        <v>3.2</v>
      </c>
      <c r="I44" s="85">
        <v>26</v>
      </c>
      <c r="J44" s="187">
        <v>10.4</v>
      </c>
      <c r="K44" s="85">
        <v>18.2</v>
      </c>
      <c r="L44" s="85">
        <v>23.5</v>
      </c>
      <c r="M44" s="85">
        <v>94</v>
      </c>
      <c r="N44" s="187">
        <v>37.6</v>
      </c>
      <c r="O44" s="85">
        <v>108.8</v>
      </c>
      <c r="P44" s="85">
        <f t="shared" si="8"/>
        <v>120</v>
      </c>
      <c r="Q44" s="50">
        <f t="shared" si="11"/>
        <v>0</v>
      </c>
      <c r="R44" s="70">
        <f t="shared" si="12"/>
        <v>0</v>
      </c>
      <c r="S44" s="70">
        <f t="shared" si="13"/>
        <v>0</v>
      </c>
      <c r="T44" s="70">
        <f t="shared" si="14"/>
        <v>0</v>
      </c>
      <c r="U44" s="70">
        <f t="shared" si="15"/>
        <v>0</v>
      </c>
      <c r="V44" s="70">
        <f t="shared" si="16"/>
        <v>0</v>
      </c>
      <c r="W44" s="345">
        <f t="shared" si="9"/>
        <v>0</v>
      </c>
      <c r="X44" s="345">
        <f t="shared" si="10"/>
        <v>0</v>
      </c>
      <c r="Y44" s="85"/>
      <c r="Z44" s="85">
        <v>1</v>
      </c>
      <c r="AA44" s="85">
        <v>1</v>
      </c>
      <c r="AB44" s="86">
        <f t="shared" si="17"/>
        <v>0</v>
      </c>
      <c r="AC44" s="86">
        <f t="shared" si="18"/>
        <v>0</v>
      </c>
      <c r="AD44" s="77"/>
      <c r="AE44" s="76"/>
      <c r="AF44" s="76"/>
      <c r="AG44" s="76"/>
      <c r="AH44" s="76"/>
      <c r="AI44" s="76"/>
      <c r="AJ44" s="76"/>
    </row>
    <row r="45" spans="1:36" s="11" customFormat="1" ht="21" x14ac:dyDescent="0.25">
      <c r="A45" s="85" t="s">
        <v>232</v>
      </c>
      <c r="B45" s="85" t="s">
        <v>55</v>
      </c>
      <c r="C45" s="85" t="s">
        <v>127</v>
      </c>
      <c r="D45" s="111"/>
      <c r="E45" s="111"/>
      <c r="F45" s="85">
        <v>600</v>
      </c>
      <c r="G45" s="85"/>
      <c r="H45" s="85"/>
      <c r="I45" s="85"/>
      <c r="J45" s="187"/>
      <c r="K45" s="85"/>
      <c r="L45" s="85">
        <v>26.7</v>
      </c>
      <c r="M45" s="85">
        <v>120</v>
      </c>
      <c r="N45" s="187">
        <v>48</v>
      </c>
      <c r="O45" s="85">
        <v>127</v>
      </c>
      <c r="P45" s="85">
        <f t="shared" si="8"/>
        <v>120</v>
      </c>
      <c r="Q45" s="50">
        <f t="shared" si="11"/>
        <v>0</v>
      </c>
      <c r="R45" s="70">
        <f t="shared" si="12"/>
        <v>0</v>
      </c>
      <c r="S45" s="70">
        <f t="shared" si="13"/>
        <v>0</v>
      </c>
      <c r="T45" s="70">
        <f t="shared" si="14"/>
        <v>0</v>
      </c>
      <c r="U45" s="70">
        <f t="shared" si="15"/>
        <v>0</v>
      </c>
      <c r="V45" s="70">
        <f t="shared" si="16"/>
        <v>0</v>
      </c>
      <c r="W45" s="345">
        <f t="shared" si="9"/>
        <v>0</v>
      </c>
      <c r="X45" s="345">
        <f t="shared" si="10"/>
        <v>0</v>
      </c>
      <c r="Y45" s="85"/>
      <c r="Z45" s="85">
        <v>1</v>
      </c>
      <c r="AA45" s="85">
        <v>1</v>
      </c>
      <c r="AB45" s="86">
        <f t="shared" si="17"/>
        <v>0</v>
      </c>
      <c r="AC45" s="86">
        <f t="shared" si="18"/>
        <v>0</v>
      </c>
      <c r="AD45" s="77"/>
      <c r="AE45" s="76"/>
      <c r="AF45" s="76"/>
      <c r="AG45" s="76"/>
      <c r="AH45" s="76"/>
      <c r="AI45" s="76"/>
      <c r="AJ45" s="76"/>
    </row>
    <row r="46" spans="1:36" s="11" customFormat="1" ht="21" x14ac:dyDescent="0.25">
      <c r="A46" s="85" t="s">
        <v>232</v>
      </c>
      <c r="B46" s="85" t="s">
        <v>55</v>
      </c>
      <c r="C46" s="85" t="s">
        <v>59</v>
      </c>
      <c r="D46" s="111"/>
      <c r="E46" s="111"/>
      <c r="F46" s="85">
        <v>600</v>
      </c>
      <c r="G46" s="85"/>
      <c r="H46" s="85">
        <v>2.8</v>
      </c>
      <c r="I46" s="85">
        <v>17</v>
      </c>
      <c r="J46" s="187">
        <v>6.8</v>
      </c>
      <c r="K46" s="85">
        <v>17.7</v>
      </c>
      <c r="L46" s="85">
        <v>24</v>
      </c>
      <c r="M46" s="85">
        <v>103</v>
      </c>
      <c r="N46" s="187">
        <v>41.2</v>
      </c>
      <c r="O46" s="85">
        <v>112.3</v>
      </c>
      <c r="P46" s="85">
        <f t="shared" si="8"/>
        <v>120</v>
      </c>
      <c r="Q46" s="50">
        <f t="shared" si="11"/>
        <v>0</v>
      </c>
      <c r="R46" s="70">
        <f t="shared" si="12"/>
        <v>0</v>
      </c>
      <c r="S46" s="70">
        <f t="shared" si="13"/>
        <v>0</v>
      </c>
      <c r="T46" s="70">
        <f t="shared" si="14"/>
        <v>0</v>
      </c>
      <c r="U46" s="70">
        <f t="shared" si="15"/>
        <v>0</v>
      </c>
      <c r="V46" s="70">
        <f t="shared" si="16"/>
        <v>0</v>
      </c>
      <c r="W46" s="345">
        <f t="shared" si="9"/>
        <v>0</v>
      </c>
      <c r="X46" s="345">
        <f t="shared" si="10"/>
        <v>0</v>
      </c>
      <c r="Y46" s="85"/>
      <c r="Z46" s="85">
        <v>1</v>
      </c>
      <c r="AA46" s="85">
        <v>1</v>
      </c>
      <c r="AB46" s="86">
        <f t="shared" si="17"/>
        <v>0</v>
      </c>
      <c r="AC46" s="86">
        <f t="shared" si="18"/>
        <v>0</v>
      </c>
      <c r="AD46" s="77"/>
      <c r="AE46" s="76"/>
      <c r="AF46" s="76"/>
      <c r="AG46" s="76"/>
      <c r="AH46" s="76"/>
      <c r="AI46" s="76"/>
      <c r="AJ46" s="76"/>
    </row>
    <row r="47" spans="1:36" s="11" customFormat="1" ht="21" x14ac:dyDescent="0.25">
      <c r="A47" s="85" t="s">
        <v>232</v>
      </c>
      <c r="B47" s="85" t="s">
        <v>55</v>
      </c>
      <c r="C47" s="85" t="s">
        <v>128</v>
      </c>
      <c r="D47" s="111"/>
      <c r="E47" s="111"/>
      <c r="F47" s="85">
        <v>600</v>
      </c>
      <c r="G47" s="85"/>
      <c r="H47" s="85"/>
      <c r="I47" s="85"/>
      <c r="J47" s="187"/>
      <c r="K47" s="85"/>
      <c r="L47" s="85">
        <v>26.8</v>
      </c>
      <c r="M47" s="85">
        <v>120</v>
      </c>
      <c r="N47" s="187">
        <v>48</v>
      </c>
      <c r="O47" s="85">
        <v>130</v>
      </c>
      <c r="P47" s="85">
        <f t="shared" si="8"/>
        <v>120</v>
      </c>
      <c r="Q47" s="50">
        <f t="shared" si="11"/>
        <v>0</v>
      </c>
      <c r="R47" s="70">
        <f t="shared" si="12"/>
        <v>0</v>
      </c>
      <c r="S47" s="70">
        <f t="shared" si="13"/>
        <v>0</v>
      </c>
      <c r="T47" s="70">
        <f t="shared" si="14"/>
        <v>0</v>
      </c>
      <c r="U47" s="70">
        <f t="shared" si="15"/>
        <v>0</v>
      </c>
      <c r="V47" s="70">
        <f t="shared" si="16"/>
        <v>0</v>
      </c>
      <c r="W47" s="345">
        <f t="shared" si="9"/>
        <v>0</v>
      </c>
      <c r="X47" s="345">
        <f t="shared" si="10"/>
        <v>0</v>
      </c>
      <c r="Y47" s="85"/>
      <c r="Z47" s="85">
        <v>1</v>
      </c>
      <c r="AA47" s="85">
        <v>1</v>
      </c>
      <c r="AB47" s="86">
        <f t="shared" si="17"/>
        <v>0</v>
      </c>
      <c r="AC47" s="86">
        <f t="shared" si="18"/>
        <v>0</v>
      </c>
      <c r="AD47" s="77"/>
      <c r="AE47" s="76"/>
      <c r="AF47" s="76"/>
      <c r="AG47" s="76"/>
      <c r="AH47" s="76"/>
      <c r="AI47" s="76"/>
      <c r="AJ47" s="76"/>
    </row>
    <row r="48" spans="1:36" s="11" customFormat="1" ht="21" x14ac:dyDescent="0.25">
      <c r="A48" s="85" t="s">
        <v>232</v>
      </c>
      <c r="B48" s="85" t="s">
        <v>55</v>
      </c>
      <c r="C48" s="85" t="s">
        <v>46</v>
      </c>
      <c r="D48" s="111"/>
      <c r="E48" s="111"/>
      <c r="F48" s="85">
        <v>600</v>
      </c>
      <c r="G48" s="85"/>
      <c r="H48" s="85">
        <v>16</v>
      </c>
      <c r="I48" s="85">
        <v>61</v>
      </c>
      <c r="J48" s="187">
        <v>24.4</v>
      </c>
      <c r="K48" s="85">
        <v>68</v>
      </c>
      <c r="L48" s="85">
        <v>13.9</v>
      </c>
      <c r="M48" s="85">
        <v>59</v>
      </c>
      <c r="N48" s="187">
        <v>23.6</v>
      </c>
      <c r="O48" s="85">
        <v>59</v>
      </c>
      <c r="P48" s="85">
        <f t="shared" si="8"/>
        <v>120</v>
      </c>
      <c r="Q48" s="50">
        <f t="shared" si="11"/>
        <v>0</v>
      </c>
      <c r="R48" s="70">
        <f t="shared" si="12"/>
        <v>0</v>
      </c>
      <c r="S48" s="70">
        <f t="shared" si="13"/>
        <v>0</v>
      </c>
      <c r="T48" s="70">
        <f t="shared" si="14"/>
        <v>0</v>
      </c>
      <c r="U48" s="70">
        <f t="shared" si="15"/>
        <v>0</v>
      </c>
      <c r="V48" s="70">
        <f t="shared" si="16"/>
        <v>0</v>
      </c>
      <c r="W48" s="345">
        <f t="shared" si="9"/>
        <v>0</v>
      </c>
      <c r="X48" s="345">
        <f t="shared" si="10"/>
        <v>0</v>
      </c>
      <c r="Y48" s="85"/>
      <c r="Z48" s="85">
        <v>1</v>
      </c>
      <c r="AA48" s="85">
        <v>1</v>
      </c>
      <c r="AB48" s="86">
        <f t="shared" si="17"/>
        <v>0</v>
      </c>
      <c r="AC48" s="86">
        <f t="shared" si="18"/>
        <v>0</v>
      </c>
      <c r="AD48" s="77"/>
      <c r="AE48" s="76"/>
      <c r="AF48" s="76"/>
      <c r="AG48" s="76"/>
      <c r="AH48" s="76"/>
      <c r="AI48" s="76"/>
      <c r="AJ48" s="76"/>
    </row>
    <row r="49" spans="1:36" s="11" customFormat="1" ht="21" x14ac:dyDescent="0.25">
      <c r="A49" s="85" t="s">
        <v>232</v>
      </c>
      <c r="B49" s="85" t="s">
        <v>55</v>
      </c>
      <c r="C49" s="85" t="s">
        <v>47</v>
      </c>
      <c r="D49" s="111"/>
      <c r="E49" s="111"/>
      <c r="F49" s="85">
        <v>600</v>
      </c>
      <c r="G49" s="85"/>
      <c r="H49" s="85">
        <v>9</v>
      </c>
      <c r="I49" s="85">
        <v>59</v>
      </c>
      <c r="J49" s="187">
        <v>23.6</v>
      </c>
      <c r="K49" s="85">
        <v>37.5</v>
      </c>
      <c r="L49" s="85">
        <v>21.5</v>
      </c>
      <c r="M49" s="85">
        <v>61</v>
      </c>
      <c r="N49" s="187">
        <v>24.4</v>
      </c>
      <c r="O49" s="85">
        <v>89.5</v>
      </c>
      <c r="P49" s="85">
        <f t="shared" si="8"/>
        <v>120</v>
      </c>
      <c r="Q49" s="50">
        <f t="shared" si="11"/>
        <v>0</v>
      </c>
      <c r="R49" s="70">
        <f t="shared" si="12"/>
        <v>0</v>
      </c>
      <c r="S49" s="70">
        <f t="shared" si="13"/>
        <v>0</v>
      </c>
      <c r="T49" s="70">
        <f t="shared" si="14"/>
        <v>0</v>
      </c>
      <c r="U49" s="70">
        <f t="shared" si="15"/>
        <v>0</v>
      </c>
      <c r="V49" s="70">
        <f t="shared" si="16"/>
        <v>0</v>
      </c>
      <c r="W49" s="345">
        <f t="shared" si="9"/>
        <v>0</v>
      </c>
      <c r="X49" s="345">
        <f t="shared" si="10"/>
        <v>0</v>
      </c>
      <c r="Y49" s="85"/>
      <c r="Z49" s="85">
        <v>1</v>
      </c>
      <c r="AA49" s="85">
        <v>1</v>
      </c>
      <c r="AB49" s="86">
        <f t="shared" si="17"/>
        <v>0</v>
      </c>
      <c r="AC49" s="86">
        <f t="shared" si="18"/>
        <v>0</v>
      </c>
      <c r="AD49" s="77"/>
      <c r="AE49" s="76"/>
      <c r="AF49" s="76"/>
      <c r="AG49" s="76"/>
      <c r="AH49" s="76"/>
      <c r="AI49" s="76"/>
      <c r="AJ49" s="76"/>
    </row>
    <row r="50" spans="1:36" s="11" customFormat="1" ht="21" x14ac:dyDescent="0.25">
      <c r="A50" s="85" t="s">
        <v>232</v>
      </c>
      <c r="B50" s="85" t="s">
        <v>55</v>
      </c>
      <c r="C50" s="85" t="s">
        <v>45</v>
      </c>
      <c r="D50" s="111"/>
      <c r="E50" s="111"/>
      <c r="F50" s="85">
        <v>600</v>
      </c>
      <c r="G50" s="85"/>
      <c r="H50" s="85">
        <v>26</v>
      </c>
      <c r="I50" s="85">
        <v>120</v>
      </c>
      <c r="J50" s="187">
        <v>48</v>
      </c>
      <c r="K50" s="85">
        <v>127</v>
      </c>
      <c r="L50" s="85"/>
      <c r="M50" s="85"/>
      <c r="N50" s="187"/>
      <c r="O50" s="85"/>
      <c r="P50" s="85">
        <f t="shared" si="8"/>
        <v>120</v>
      </c>
      <c r="Q50" s="50">
        <f t="shared" si="11"/>
        <v>0</v>
      </c>
      <c r="R50" s="70">
        <f t="shared" si="12"/>
        <v>0</v>
      </c>
      <c r="S50" s="70">
        <f t="shared" si="13"/>
        <v>0</v>
      </c>
      <c r="T50" s="70">
        <f t="shared" si="14"/>
        <v>0</v>
      </c>
      <c r="U50" s="70">
        <f t="shared" si="15"/>
        <v>0</v>
      </c>
      <c r="V50" s="70">
        <f t="shared" si="16"/>
        <v>0</v>
      </c>
      <c r="W50" s="345">
        <f t="shared" si="9"/>
        <v>0</v>
      </c>
      <c r="X50" s="345">
        <f t="shared" si="10"/>
        <v>0</v>
      </c>
      <c r="Y50" s="85"/>
      <c r="Z50" s="85">
        <v>1</v>
      </c>
      <c r="AA50" s="85">
        <v>1</v>
      </c>
      <c r="AB50" s="86">
        <f t="shared" si="17"/>
        <v>0</v>
      </c>
      <c r="AC50" s="86">
        <f t="shared" si="18"/>
        <v>0</v>
      </c>
      <c r="AD50" s="77"/>
      <c r="AE50" s="76"/>
      <c r="AF50" s="76"/>
      <c r="AG50" s="76"/>
      <c r="AH50" s="76"/>
      <c r="AI50" s="76"/>
      <c r="AJ50" s="76"/>
    </row>
    <row r="51" spans="1:36" s="11" customFormat="1" ht="21" x14ac:dyDescent="0.25">
      <c r="A51" s="85" t="s">
        <v>232</v>
      </c>
      <c r="B51" s="85" t="s">
        <v>55</v>
      </c>
      <c r="C51" s="85" t="s">
        <v>57</v>
      </c>
      <c r="D51" s="111"/>
      <c r="E51" s="111"/>
      <c r="F51" s="85">
        <v>600</v>
      </c>
      <c r="G51" s="85"/>
      <c r="H51" s="85">
        <v>26</v>
      </c>
      <c r="I51" s="85">
        <v>120</v>
      </c>
      <c r="J51" s="187">
        <v>48</v>
      </c>
      <c r="K51" s="85">
        <v>127</v>
      </c>
      <c r="L51" s="85"/>
      <c r="M51" s="85"/>
      <c r="N51" s="187"/>
      <c r="O51" s="85"/>
      <c r="P51" s="85">
        <f t="shared" si="8"/>
        <v>120</v>
      </c>
      <c r="Q51" s="50">
        <f t="shared" si="11"/>
        <v>0</v>
      </c>
      <c r="R51" s="70">
        <f t="shared" si="12"/>
        <v>0</v>
      </c>
      <c r="S51" s="70">
        <f t="shared" si="13"/>
        <v>0</v>
      </c>
      <c r="T51" s="70">
        <f t="shared" si="14"/>
        <v>0</v>
      </c>
      <c r="U51" s="70">
        <f t="shared" si="15"/>
        <v>0</v>
      </c>
      <c r="V51" s="70">
        <f t="shared" si="16"/>
        <v>0</v>
      </c>
      <c r="W51" s="345">
        <f t="shared" si="9"/>
        <v>0</v>
      </c>
      <c r="X51" s="345">
        <f t="shared" si="10"/>
        <v>0</v>
      </c>
      <c r="Y51" s="85"/>
      <c r="Z51" s="85">
        <v>1</v>
      </c>
      <c r="AA51" s="85">
        <v>1</v>
      </c>
      <c r="AB51" s="86">
        <f t="shared" si="17"/>
        <v>0</v>
      </c>
      <c r="AC51" s="86">
        <f t="shared" si="18"/>
        <v>0</v>
      </c>
      <c r="AD51" s="77"/>
      <c r="AE51" s="76"/>
      <c r="AF51" s="76"/>
      <c r="AG51" s="76"/>
      <c r="AH51" s="76"/>
      <c r="AI51" s="76"/>
      <c r="AJ51" s="76"/>
    </row>
    <row r="52" spans="1:36" s="11" customFormat="1" ht="21" x14ac:dyDescent="0.25">
      <c r="A52" s="85" t="s">
        <v>232</v>
      </c>
      <c r="B52" s="85" t="s">
        <v>55</v>
      </c>
      <c r="C52" s="85" t="s">
        <v>49</v>
      </c>
      <c r="D52" s="111"/>
      <c r="E52" s="111"/>
      <c r="F52" s="85">
        <v>600</v>
      </c>
      <c r="G52" s="85"/>
      <c r="H52" s="85">
        <v>2.8</v>
      </c>
      <c r="I52" s="85">
        <v>17</v>
      </c>
      <c r="J52" s="187">
        <v>6.8</v>
      </c>
      <c r="K52" s="85">
        <v>11.9</v>
      </c>
      <c r="L52" s="85">
        <v>24</v>
      </c>
      <c r="M52" s="85">
        <v>103</v>
      </c>
      <c r="N52" s="187">
        <v>41.2</v>
      </c>
      <c r="O52" s="85">
        <v>115.1</v>
      </c>
      <c r="P52" s="85">
        <f t="shared" si="8"/>
        <v>120</v>
      </c>
      <c r="Q52" s="50">
        <f t="shared" si="11"/>
        <v>0</v>
      </c>
      <c r="R52" s="70">
        <f t="shared" si="12"/>
        <v>0</v>
      </c>
      <c r="S52" s="70">
        <f t="shared" si="13"/>
        <v>0</v>
      </c>
      <c r="T52" s="70">
        <f t="shared" si="14"/>
        <v>0</v>
      </c>
      <c r="U52" s="70">
        <f t="shared" si="15"/>
        <v>0</v>
      </c>
      <c r="V52" s="70">
        <f t="shared" si="16"/>
        <v>0</v>
      </c>
      <c r="W52" s="345">
        <f t="shared" si="9"/>
        <v>0</v>
      </c>
      <c r="X52" s="345">
        <f t="shared" si="10"/>
        <v>0</v>
      </c>
      <c r="Y52" s="85"/>
      <c r="Z52" s="85">
        <v>1</v>
      </c>
      <c r="AA52" s="85">
        <v>1</v>
      </c>
      <c r="AB52" s="86">
        <f t="shared" si="17"/>
        <v>0</v>
      </c>
      <c r="AC52" s="86">
        <f t="shared" si="18"/>
        <v>0</v>
      </c>
      <c r="AD52" s="77"/>
      <c r="AE52" s="76"/>
      <c r="AF52" s="76"/>
      <c r="AG52" s="76"/>
      <c r="AH52" s="76"/>
      <c r="AI52" s="76"/>
      <c r="AJ52" s="76"/>
    </row>
    <row r="53" spans="1:36" s="11" customFormat="1" ht="21" x14ac:dyDescent="0.25">
      <c r="A53" s="85" t="s">
        <v>232</v>
      </c>
      <c r="B53" s="85" t="s">
        <v>55</v>
      </c>
      <c r="C53" s="85" t="s">
        <v>126</v>
      </c>
      <c r="D53" s="111"/>
      <c r="E53" s="111"/>
      <c r="F53" s="85">
        <v>600</v>
      </c>
      <c r="G53" s="85"/>
      <c r="H53" s="85"/>
      <c r="I53" s="85"/>
      <c r="J53" s="187"/>
      <c r="K53" s="85"/>
      <c r="L53" s="85">
        <v>26.8</v>
      </c>
      <c r="M53" s="85">
        <v>120</v>
      </c>
      <c r="N53" s="187">
        <v>48</v>
      </c>
      <c r="O53" s="85">
        <v>127</v>
      </c>
      <c r="P53" s="85">
        <f t="shared" si="8"/>
        <v>120</v>
      </c>
      <c r="Q53" s="50">
        <f t="shared" si="11"/>
        <v>0</v>
      </c>
      <c r="R53" s="70">
        <f t="shared" si="12"/>
        <v>0</v>
      </c>
      <c r="S53" s="70">
        <f t="shared" si="13"/>
        <v>0</v>
      </c>
      <c r="T53" s="70">
        <f t="shared" si="14"/>
        <v>0</v>
      </c>
      <c r="U53" s="70">
        <f t="shared" si="15"/>
        <v>0</v>
      </c>
      <c r="V53" s="70">
        <f t="shared" si="16"/>
        <v>0</v>
      </c>
      <c r="W53" s="345">
        <f t="shared" si="9"/>
        <v>0</v>
      </c>
      <c r="X53" s="345">
        <f t="shared" si="10"/>
        <v>0</v>
      </c>
      <c r="Y53" s="85"/>
      <c r="Z53" s="85">
        <v>1</v>
      </c>
      <c r="AA53" s="85">
        <v>1</v>
      </c>
      <c r="AB53" s="86">
        <f t="shared" si="17"/>
        <v>0</v>
      </c>
      <c r="AC53" s="86">
        <f t="shared" si="18"/>
        <v>0</v>
      </c>
      <c r="AD53" s="77"/>
      <c r="AE53" s="76"/>
      <c r="AF53" s="76"/>
      <c r="AG53" s="76"/>
      <c r="AH53" s="76"/>
      <c r="AI53" s="76"/>
      <c r="AJ53" s="76"/>
    </row>
    <row r="54" spans="1:36" s="11" customFormat="1" ht="21" x14ac:dyDescent="0.25">
      <c r="A54" s="85" t="s">
        <v>232</v>
      </c>
      <c r="B54" s="85" t="s">
        <v>55</v>
      </c>
      <c r="C54" s="85" t="s">
        <v>58</v>
      </c>
      <c r="D54" s="111"/>
      <c r="E54" s="111"/>
      <c r="F54" s="85">
        <v>600</v>
      </c>
      <c r="G54" s="85"/>
      <c r="H54" s="85">
        <v>13</v>
      </c>
      <c r="I54" s="85">
        <v>61</v>
      </c>
      <c r="J54" s="187">
        <v>24.4</v>
      </c>
      <c r="K54" s="85">
        <v>40.9</v>
      </c>
      <c r="L54" s="85">
        <v>27.4</v>
      </c>
      <c r="M54" s="85">
        <v>59</v>
      </c>
      <c r="N54" s="187">
        <v>23.6</v>
      </c>
      <c r="O54" s="85">
        <v>86.1</v>
      </c>
      <c r="P54" s="85">
        <f t="shared" si="8"/>
        <v>120</v>
      </c>
      <c r="Q54" s="50">
        <f t="shared" si="11"/>
        <v>0</v>
      </c>
      <c r="R54" s="70">
        <f t="shared" si="12"/>
        <v>0</v>
      </c>
      <c r="S54" s="70">
        <f t="shared" si="13"/>
        <v>0</v>
      </c>
      <c r="T54" s="70">
        <f t="shared" si="14"/>
        <v>0</v>
      </c>
      <c r="U54" s="70">
        <f t="shared" si="15"/>
        <v>0</v>
      </c>
      <c r="V54" s="70">
        <f t="shared" si="16"/>
        <v>0</v>
      </c>
      <c r="W54" s="345">
        <f t="shared" si="9"/>
        <v>0</v>
      </c>
      <c r="X54" s="345">
        <f t="shared" si="10"/>
        <v>0</v>
      </c>
      <c r="Y54" s="85"/>
      <c r="Z54" s="85">
        <v>1</v>
      </c>
      <c r="AA54" s="85">
        <v>1</v>
      </c>
      <c r="AB54" s="86">
        <f t="shared" si="17"/>
        <v>0</v>
      </c>
      <c r="AC54" s="86">
        <f t="shared" si="18"/>
        <v>0</v>
      </c>
      <c r="AD54" s="77"/>
      <c r="AE54" s="76"/>
      <c r="AF54" s="76"/>
      <c r="AG54" s="76"/>
      <c r="AH54" s="76"/>
      <c r="AI54" s="76"/>
      <c r="AJ54" s="76"/>
    </row>
    <row r="55" spans="1:36" s="11" customFormat="1" ht="21" x14ac:dyDescent="0.25">
      <c r="A55" s="85" t="s">
        <v>258</v>
      </c>
      <c r="B55" s="85" t="s">
        <v>53</v>
      </c>
      <c r="C55" s="85" t="s">
        <v>42</v>
      </c>
      <c r="D55" s="111"/>
      <c r="E55" s="111"/>
      <c r="F55" s="85">
        <v>600</v>
      </c>
      <c r="G55" s="85"/>
      <c r="H55" s="85">
        <v>9</v>
      </c>
      <c r="I55" s="85">
        <v>39</v>
      </c>
      <c r="J55" s="187">
        <v>15.6</v>
      </c>
      <c r="K55" s="85">
        <v>26.1</v>
      </c>
      <c r="L55" s="85">
        <v>34.799999999999997</v>
      </c>
      <c r="M55" s="85">
        <v>99</v>
      </c>
      <c r="N55" s="187">
        <v>39.6</v>
      </c>
      <c r="O55" s="85">
        <v>100.9</v>
      </c>
      <c r="P55" s="85">
        <f t="shared" si="8"/>
        <v>138</v>
      </c>
      <c r="Q55" s="50">
        <f t="shared" si="11"/>
        <v>0</v>
      </c>
      <c r="R55" s="70">
        <f t="shared" si="12"/>
        <v>0</v>
      </c>
      <c r="S55" s="70">
        <f t="shared" si="13"/>
        <v>0</v>
      </c>
      <c r="T55" s="70">
        <f t="shared" si="14"/>
        <v>0</v>
      </c>
      <c r="U55" s="70">
        <f t="shared" si="15"/>
        <v>0</v>
      </c>
      <c r="V55" s="70">
        <f t="shared" si="16"/>
        <v>0</v>
      </c>
      <c r="W55" s="345">
        <f t="shared" si="9"/>
        <v>0</v>
      </c>
      <c r="X55" s="345">
        <f t="shared" si="10"/>
        <v>0</v>
      </c>
      <c r="Y55" s="85"/>
      <c r="Z55" s="85">
        <v>1</v>
      </c>
      <c r="AA55" s="85">
        <v>1</v>
      </c>
      <c r="AB55" s="86">
        <f t="shared" si="17"/>
        <v>0</v>
      </c>
      <c r="AC55" s="86">
        <f t="shared" si="18"/>
        <v>0</v>
      </c>
      <c r="AD55" s="77"/>
      <c r="AE55" s="76"/>
      <c r="AF55" s="76"/>
      <c r="AG55" s="76"/>
      <c r="AH55" s="76"/>
      <c r="AI55" s="76"/>
      <c r="AJ55" s="76"/>
    </row>
    <row r="56" spans="1:36" s="11" customFormat="1" ht="21" x14ac:dyDescent="0.25">
      <c r="A56" s="85" t="s">
        <v>258</v>
      </c>
      <c r="B56" s="85" t="s">
        <v>53</v>
      </c>
      <c r="C56" s="85" t="s">
        <v>124</v>
      </c>
      <c r="D56" s="111"/>
      <c r="E56" s="111"/>
      <c r="F56" s="85">
        <v>600</v>
      </c>
      <c r="G56" s="85"/>
      <c r="H56" s="85"/>
      <c r="I56" s="85"/>
      <c r="J56" s="187"/>
      <c r="K56" s="85"/>
      <c r="L56" s="85">
        <v>43.8</v>
      </c>
      <c r="M56" s="85">
        <v>138</v>
      </c>
      <c r="N56" s="187">
        <v>55.2</v>
      </c>
      <c r="O56" s="85">
        <v>127</v>
      </c>
      <c r="P56" s="85">
        <f t="shared" si="8"/>
        <v>138</v>
      </c>
      <c r="Q56" s="50">
        <f t="shared" si="11"/>
        <v>0</v>
      </c>
      <c r="R56" s="70">
        <f t="shared" si="12"/>
        <v>0</v>
      </c>
      <c r="S56" s="70">
        <f t="shared" si="13"/>
        <v>0</v>
      </c>
      <c r="T56" s="70">
        <f t="shared" si="14"/>
        <v>0</v>
      </c>
      <c r="U56" s="70">
        <f t="shared" si="15"/>
        <v>0</v>
      </c>
      <c r="V56" s="70">
        <f t="shared" si="16"/>
        <v>0</v>
      </c>
      <c r="W56" s="345">
        <f t="shared" si="9"/>
        <v>0</v>
      </c>
      <c r="X56" s="345">
        <f t="shared" si="10"/>
        <v>0</v>
      </c>
      <c r="Y56" s="85"/>
      <c r="Z56" s="85">
        <v>1</v>
      </c>
      <c r="AA56" s="85">
        <v>1</v>
      </c>
      <c r="AB56" s="86">
        <f t="shared" si="17"/>
        <v>0</v>
      </c>
      <c r="AC56" s="86">
        <f t="shared" si="18"/>
        <v>0</v>
      </c>
      <c r="AD56" s="77"/>
      <c r="AE56" s="76"/>
      <c r="AF56" s="76"/>
      <c r="AG56" s="76"/>
      <c r="AH56" s="76"/>
      <c r="AI56" s="76"/>
      <c r="AJ56" s="76"/>
    </row>
    <row r="57" spans="1:36" s="11" customFormat="1" ht="21" x14ac:dyDescent="0.25">
      <c r="A57" s="85" t="s">
        <v>258</v>
      </c>
      <c r="B57" s="85" t="s">
        <v>53</v>
      </c>
      <c r="C57" s="85" t="s">
        <v>43</v>
      </c>
      <c r="D57" s="111"/>
      <c r="E57" s="111"/>
      <c r="F57" s="85">
        <v>600</v>
      </c>
      <c r="G57" s="85"/>
      <c r="H57" s="85">
        <v>33</v>
      </c>
      <c r="I57" s="85">
        <v>138</v>
      </c>
      <c r="J57" s="187">
        <v>55.2</v>
      </c>
      <c r="K57" s="85">
        <v>127</v>
      </c>
      <c r="L57" s="85"/>
      <c r="M57" s="85"/>
      <c r="N57" s="187"/>
      <c r="O57" s="85"/>
      <c r="P57" s="85">
        <f t="shared" si="8"/>
        <v>138</v>
      </c>
      <c r="Q57" s="50">
        <f t="shared" si="11"/>
        <v>0</v>
      </c>
      <c r="R57" s="70">
        <f t="shared" si="12"/>
        <v>0</v>
      </c>
      <c r="S57" s="70">
        <f t="shared" si="13"/>
        <v>0</v>
      </c>
      <c r="T57" s="70">
        <f t="shared" si="14"/>
        <v>0</v>
      </c>
      <c r="U57" s="70">
        <f t="shared" si="15"/>
        <v>0</v>
      </c>
      <c r="V57" s="70">
        <f t="shared" si="16"/>
        <v>0</v>
      </c>
      <c r="W57" s="345">
        <f t="shared" si="9"/>
        <v>0</v>
      </c>
      <c r="X57" s="345">
        <f t="shared" si="10"/>
        <v>0</v>
      </c>
      <c r="Y57" s="85"/>
      <c r="Z57" s="85">
        <v>1</v>
      </c>
      <c r="AA57" s="85">
        <v>1</v>
      </c>
      <c r="AB57" s="86">
        <f t="shared" si="17"/>
        <v>0</v>
      </c>
      <c r="AC57" s="86">
        <f t="shared" si="18"/>
        <v>0</v>
      </c>
      <c r="AD57" s="77"/>
      <c r="AE57" s="76"/>
      <c r="AF57" s="76"/>
      <c r="AG57" s="76"/>
      <c r="AH57" s="76"/>
      <c r="AI57" s="76"/>
      <c r="AJ57" s="76"/>
    </row>
    <row r="58" spans="1:36" s="11" customFormat="1" ht="21" x14ac:dyDescent="0.25">
      <c r="A58" s="85" t="s">
        <v>258</v>
      </c>
      <c r="B58" s="85" t="s">
        <v>53</v>
      </c>
      <c r="C58" s="85" t="s">
        <v>46</v>
      </c>
      <c r="D58" s="111"/>
      <c r="E58" s="111"/>
      <c r="F58" s="85">
        <v>600</v>
      </c>
      <c r="G58" s="85"/>
      <c r="H58" s="85">
        <v>20</v>
      </c>
      <c r="I58" s="85">
        <v>85</v>
      </c>
      <c r="J58" s="187">
        <v>34</v>
      </c>
      <c r="K58" s="85">
        <v>65.099999999999994</v>
      </c>
      <c r="L58" s="85">
        <v>19</v>
      </c>
      <c r="M58" s="85">
        <v>53</v>
      </c>
      <c r="N58" s="187">
        <v>21.2</v>
      </c>
      <c r="O58" s="85">
        <v>61.9</v>
      </c>
      <c r="P58" s="85">
        <f t="shared" si="8"/>
        <v>138</v>
      </c>
      <c r="Q58" s="50">
        <f t="shared" si="11"/>
        <v>0</v>
      </c>
      <c r="R58" s="70">
        <f t="shared" si="12"/>
        <v>0</v>
      </c>
      <c r="S58" s="70">
        <f t="shared" si="13"/>
        <v>0</v>
      </c>
      <c r="T58" s="70">
        <f t="shared" si="14"/>
        <v>0</v>
      </c>
      <c r="U58" s="70">
        <f t="shared" si="15"/>
        <v>0</v>
      </c>
      <c r="V58" s="70">
        <f t="shared" si="16"/>
        <v>0</v>
      </c>
      <c r="W58" s="345">
        <f t="shared" si="9"/>
        <v>0</v>
      </c>
      <c r="X58" s="345">
        <f t="shared" si="10"/>
        <v>0</v>
      </c>
      <c r="Y58" s="85"/>
      <c r="Z58" s="85">
        <v>1</v>
      </c>
      <c r="AA58" s="85">
        <v>1</v>
      </c>
      <c r="AB58" s="86">
        <f t="shared" si="17"/>
        <v>0</v>
      </c>
      <c r="AC58" s="86">
        <f t="shared" si="18"/>
        <v>0</v>
      </c>
      <c r="AD58" s="77"/>
      <c r="AE58" s="76"/>
      <c r="AF58" s="76"/>
      <c r="AG58" s="76"/>
      <c r="AH58" s="76"/>
      <c r="AI58" s="76"/>
      <c r="AJ58" s="76"/>
    </row>
    <row r="59" spans="1:36" s="11" customFormat="1" ht="21" x14ac:dyDescent="0.25">
      <c r="A59" s="85" t="s">
        <v>258</v>
      </c>
      <c r="B59" s="85" t="s">
        <v>53</v>
      </c>
      <c r="C59" s="85" t="s">
        <v>47</v>
      </c>
      <c r="D59" s="111"/>
      <c r="E59" s="111"/>
      <c r="F59" s="85">
        <v>600</v>
      </c>
      <c r="G59" s="85"/>
      <c r="H59" s="85">
        <v>13</v>
      </c>
      <c r="I59" s="85">
        <v>53</v>
      </c>
      <c r="J59" s="187">
        <v>21.2</v>
      </c>
      <c r="K59" s="85">
        <v>42</v>
      </c>
      <c r="L59" s="85">
        <v>26.3</v>
      </c>
      <c r="M59" s="85">
        <v>85</v>
      </c>
      <c r="N59" s="187">
        <v>34</v>
      </c>
      <c r="O59" s="85">
        <v>85</v>
      </c>
      <c r="P59" s="85">
        <f t="shared" si="8"/>
        <v>138</v>
      </c>
      <c r="Q59" s="50">
        <f t="shared" si="11"/>
        <v>0</v>
      </c>
      <c r="R59" s="70">
        <f t="shared" si="12"/>
        <v>0</v>
      </c>
      <c r="S59" s="70">
        <f t="shared" si="13"/>
        <v>0</v>
      </c>
      <c r="T59" s="70">
        <f t="shared" si="14"/>
        <v>0</v>
      </c>
      <c r="U59" s="70">
        <f t="shared" si="15"/>
        <v>0</v>
      </c>
      <c r="V59" s="70">
        <f t="shared" si="16"/>
        <v>0</v>
      </c>
      <c r="W59" s="345">
        <f t="shared" si="9"/>
        <v>0</v>
      </c>
      <c r="X59" s="345">
        <f t="shared" si="10"/>
        <v>0</v>
      </c>
      <c r="Y59" s="85"/>
      <c r="Z59" s="85">
        <v>1</v>
      </c>
      <c r="AA59" s="85">
        <v>1</v>
      </c>
      <c r="AB59" s="86">
        <f t="shared" si="17"/>
        <v>0</v>
      </c>
      <c r="AC59" s="86">
        <f t="shared" si="18"/>
        <v>0</v>
      </c>
      <c r="AD59" s="77"/>
      <c r="AE59" s="76"/>
      <c r="AF59" s="76"/>
      <c r="AG59" s="76"/>
      <c r="AH59" s="76"/>
      <c r="AI59" s="76"/>
      <c r="AJ59" s="76"/>
    </row>
    <row r="60" spans="1:36" s="11" customFormat="1" ht="31.5" x14ac:dyDescent="0.25">
      <c r="A60" s="85" t="s">
        <v>258</v>
      </c>
      <c r="B60" s="85" t="s">
        <v>53</v>
      </c>
      <c r="C60" s="85" t="s">
        <v>48</v>
      </c>
      <c r="D60" s="111"/>
      <c r="E60" s="111"/>
      <c r="F60" s="85">
        <v>600</v>
      </c>
      <c r="G60" s="85"/>
      <c r="H60" s="85">
        <v>9</v>
      </c>
      <c r="I60" s="85">
        <v>62</v>
      </c>
      <c r="J60" s="187">
        <v>24.8</v>
      </c>
      <c r="K60" s="85">
        <v>28.9</v>
      </c>
      <c r="L60" s="85">
        <v>30.6</v>
      </c>
      <c r="M60" s="85">
        <v>76</v>
      </c>
      <c r="N60" s="187">
        <v>30.4</v>
      </c>
      <c r="O60" s="85">
        <v>98.1</v>
      </c>
      <c r="P60" s="85">
        <f t="shared" si="8"/>
        <v>138</v>
      </c>
      <c r="Q60" s="50">
        <f t="shared" si="11"/>
        <v>0</v>
      </c>
      <c r="R60" s="70">
        <f t="shared" si="12"/>
        <v>0</v>
      </c>
      <c r="S60" s="70">
        <f t="shared" si="13"/>
        <v>0</v>
      </c>
      <c r="T60" s="70">
        <f t="shared" si="14"/>
        <v>0</v>
      </c>
      <c r="U60" s="70">
        <f t="shared" si="15"/>
        <v>0</v>
      </c>
      <c r="V60" s="70">
        <f t="shared" si="16"/>
        <v>0</v>
      </c>
      <c r="W60" s="345">
        <f t="shared" si="9"/>
        <v>0</v>
      </c>
      <c r="X60" s="345">
        <f t="shared" si="10"/>
        <v>0</v>
      </c>
      <c r="Y60" s="85"/>
      <c r="Z60" s="85">
        <v>1</v>
      </c>
      <c r="AA60" s="85">
        <v>1</v>
      </c>
      <c r="AB60" s="86">
        <f t="shared" si="17"/>
        <v>0</v>
      </c>
      <c r="AC60" s="86">
        <f t="shared" si="18"/>
        <v>0</v>
      </c>
      <c r="AD60" s="77"/>
      <c r="AE60" s="76"/>
      <c r="AF60" s="76"/>
      <c r="AG60" s="76"/>
      <c r="AH60" s="76"/>
      <c r="AI60" s="76"/>
      <c r="AJ60" s="76"/>
    </row>
    <row r="61" spans="1:36" s="11" customFormat="1" ht="31.5" x14ac:dyDescent="0.25">
      <c r="A61" s="85" t="s">
        <v>258</v>
      </c>
      <c r="B61" s="85" t="s">
        <v>53</v>
      </c>
      <c r="C61" s="85" t="s">
        <v>125</v>
      </c>
      <c r="D61" s="111"/>
      <c r="E61" s="111"/>
      <c r="F61" s="85">
        <v>600</v>
      </c>
      <c r="G61" s="85"/>
      <c r="H61" s="85"/>
      <c r="I61" s="85"/>
      <c r="J61" s="187"/>
      <c r="K61" s="85"/>
      <c r="L61" s="85">
        <v>39.6</v>
      </c>
      <c r="M61" s="85">
        <v>138</v>
      </c>
      <c r="N61" s="187">
        <v>55.2</v>
      </c>
      <c r="O61" s="85">
        <v>127</v>
      </c>
      <c r="P61" s="85">
        <f t="shared" si="8"/>
        <v>138</v>
      </c>
      <c r="Q61" s="50">
        <f t="shared" si="11"/>
        <v>0</v>
      </c>
      <c r="R61" s="70">
        <f t="shared" si="12"/>
        <v>0</v>
      </c>
      <c r="S61" s="70">
        <f t="shared" si="13"/>
        <v>0</v>
      </c>
      <c r="T61" s="70">
        <f t="shared" si="14"/>
        <v>0</v>
      </c>
      <c r="U61" s="70">
        <f t="shared" si="15"/>
        <v>0</v>
      </c>
      <c r="V61" s="70">
        <f t="shared" si="16"/>
        <v>0</v>
      </c>
      <c r="W61" s="345">
        <f t="shared" si="9"/>
        <v>0</v>
      </c>
      <c r="X61" s="345">
        <f t="shared" si="10"/>
        <v>0</v>
      </c>
      <c r="Y61" s="85"/>
      <c r="Z61" s="85">
        <v>1</v>
      </c>
      <c r="AA61" s="85">
        <v>1</v>
      </c>
      <c r="AB61" s="86">
        <f t="shared" si="17"/>
        <v>0</v>
      </c>
      <c r="AC61" s="86">
        <f t="shared" si="18"/>
        <v>0</v>
      </c>
      <c r="AD61" s="77"/>
      <c r="AE61" s="76"/>
      <c r="AF61" s="76"/>
      <c r="AG61" s="76"/>
      <c r="AH61" s="76"/>
      <c r="AI61" s="76"/>
      <c r="AJ61" s="76"/>
    </row>
    <row r="62" spans="1:36" s="11" customFormat="1" ht="21" x14ac:dyDescent="0.25">
      <c r="A62" s="85" t="s">
        <v>258</v>
      </c>
      <c r="B62" s="85" t="s">
        <v>53</v>
      </c>
      <c r="C62" s="85" t="s">
        <v>45</v>
      </c>
      <c r="D62" s="111"/>
      <c r="E62" s="111"/>
      <c r="F62" s="85">
        <v>600</v>
      </c>
      <c r="G62" s="85"/>
      <c r="H62" s="85">
        <v>33</v>
      </c>
      <c r="I62" s="85">
        <v>138</v>
      </c>
      <c r="J62" s="187">
        <v>55.2</v>
      </c>
      <c r="K62" s="85">
        <v>127</v>
      </c>
      <c r="L62" s="85"/>
      <c r="M62" s="85"/>
      <c r="N62" s="187"/>
      <c r="O62" s="85"/>
      <c r="P62" s="85">
        <f t="shared" si="8"/>
        <v>138</v>
      </c>
      <c r="Q62" s="50">
        <f t="shared" si="11"/>
        <v>0</v>
      </c>
      <c r="R62" s="70">
        <f t="shared" si="12"/>
        <v>0</v>
      </c>
      <c r="S62" s="70">
        <f t="shared" si="13"/>
        <v>0</v>
      </c>
      <c r="T62" s="70">
        <f t="shared" si="14"/>
        <v>0</v>
      </c>
      <c r="U62" s="70">
        <f t="shared" si="15"/>
        <v>0</v>
      </c>
      <c r="V62" s="70">
        <f t="shared" si="16"/>
        <v>0</v>
      </c>
      <c r="W62" s="345">
        <f t="shared" si="9"/>
        <v>0</v>
      </c>
      <c r="X62" s="345">
        <f t="shared" si="10"/>
        <v>0</v>
      </c>
      <c r="Y62" s="85"/>
      <c r="Z62" s="85">
        <v>1</v>
      </c>
      <c r="AA62" s="85">
        <v>1</v>
      </c>
      <c r="AB62" s="86">
        <f t="shared" si="17"/>
        <v>0</v>
      </c>
      <c r="AC62" s="86">
        <f t="shared" si="18"/>
        <v>0</v>
      </c>
      <c r="AD62" s="77"/>
      <c r="AE62" s="76"/>
      <c r="AF62" s="76"/>
      <c r="AG62" s="76"/>
      <c r="AH62" s="76"/>
      <c r="AI62" s="76"/>
      <c r="AJ62" s="76"/>
    </row>
    <row r="63" spans="1:36" s="11" customFormat="1" ht="21" x14ac:dyDescent="0.25">
      <c r="A63" s="85" t="s">
        <v>258</v>
      </c>
      <c r="B63" s="85" t="s">
        <v>53</v>
      </c>
      <c r="C63" s="85" t="s">
        <v>49</v>
      </c>
      <c r="D63" s="111"/>
      <c r="E63" s="111"/>
      <c r="F63" s="85">
        <v>600</v>
      </c>
      <c r="G63" s="85"/>
      <c r="H63" s="85">
        <v>9</v>
      </c>
      <c r="I63" s="85">
        <v>39</v>
      </c>
      <c r="J63" s="187">
        <v>15.6</v>
      </c>
      <c r="K63" s="85">
        <v>24.8</v>
      </c>
      <c r="L63" s="85">
        <v>37.1</v>
      </c>
      <c r="M63" s="85">
        <v>99</v>
      </c>
      <c r="N63" s="187">
        <v>39.6</v>
      </c>
      <c r="O63" s="85">
        <v>102.2</v>
      </c>
      <c r="P63" s="85">
        <f t="shared" si="8"/>
        <v>138</v>
      </c>
      <c r="Q63" s="50">
        <f t="shared" si="11"/>
        <v>0</v>
      </c>
      <c r="R63" s="70">
        <f t="shared" si="12"/>
        <v>0</v>
      </c>
      <c r="S63" s="70">
        <f t="shared" si="13"/>
        <v>0</v>
      </c>
      <c r="T63" s="70">
        <f t="shared" si="14"/>
        <v>0</v>
      </c>
      <c r="U63" s="70">
        <f t="shared" si="15"/>
        <v>0</v>
      </c>
      <c r="V63" s="70">
        <f t="shared" si="16"/>
        <v>0</v>
      </c>
      <c r="W63" s="345">
        <f t="shared" si="9"/>
        <v>0</v>
      </c>
      <c r="X63" s="345">
        <f t="shared" si="10"/>
        <v>0</v>
      </c>
      <c r="Y63" s="85"/>
      <c r="Z63" s="85">
        <v>1</v>
      </c>
      <c r="AA63" s="85">
        <v>1</v>
      </c>
      <c r="AB63" s="86">
        <f t="shared" si="17"/>
        <v>0</v>
      </c>
      <c r="AC63" s="86">
        <f t="shared" si="18"/>
        <v>0</v>
      </c>
      <c r="AD63" s="77"/>
      <c r="AE63" s="76"/>
      <c r="AF63" s="76"/>
      <c r="AG63" s="76"/>
      <c r="AH63" s="76"/>
      <c r="AI63" s="76"/>
      <c r="AJ63" s="76"/>
    </row>
    <row r="64" spans="1:36" s="11" customFormat="1" ht="21" x14ac:dyDescent="0.25">
      <c r="A64" s="85" t="s">
        <v>258</v>
      </c>
      <c r="B64" s="85" t="s">
        <v>53</v>
      </c>
      <c r="C64" s="85" t="s">
        <v>126</v>
      </c>
      <c r="D64" s="111"/>
      <c r="E64" s="111"/>
      <c r="F64" s="85">
        <v>600</v>
      </c>
      <c r="G64" s="85"/>
      <c r="H64" s="85"/>
      <c r="I64" s="85"/>
      <c r="J64" s="187"/>
      <c r="K64" s="85"/>
      <c r="L64" s="85">
        <v>46.1</v>
      </c>
      <c r="M64" s="85">
        <v>138</v>
      </c>
      <c r="N64" s="187">
        <v>55.2</v>
      </c>
      <c r="O64" s="85">
        <v>127</v>
      </c>
      <c r="P64" s="85">
        <f t="shared" si="8"/>
        <v>138</v>
      </c>
      <c r="Q64" s="50">
        <f t="shared" si="11"/>
        <v>0</v>
      </c>
      <c r="R64" s="70">
        <f t="shared" si="12"/>
        <v>0</v>
      </c>
      <c r="S64" s="70">
        <f t="shared" si="13"/>
        <v>0</v>
      </c>
      <c r="T64" s="70">
        <f t="shared" si="14"/>
        <v>0</v>
      </c>
      <c r="U64" s="70">
        <f t="shared" si="15"/>
        <v>0</v>
      </c>
      <c r="V64" s="70">
        <f t="shared" si="16"/>
        <v>0</v>
      </c>
      <c r="W64" s="345">
        <f t="shared" si="9"/>
        <v>0</v>
      </c>
      <c r="X64" s="345">
        <f t="shared" si="10"/>
        <v>0</v>
      </c>
      <c r="Y64" s="85"/>
      <c r="Z64" s="85">
        <v>1</v>
      </c>
      <c r="AA64" s="85">
        <v>1</v>
      </c>
      <c r="AB64" s="86">
        <f t="shared" si="17"/>
        <v>0</v>
      </c>
      <c r="AC64" s="86">
        <f t="shared" si="18"/>
        <v>0</v>
      </c>
      <c r="AD64" s="77"/>
      <c r="AE64" s="76"/>
      <c r="AF64" s="76"/>
      <c r="AG64" s="76"/>
      <c r="AH64" s="76"/>
      <c r="AI64" s="76"/>
      <c r="AJ64" s="76"/>
    </row>
    <row r="65" spans="1:36" s="11" customFormat="1" ht="21" x14ac:dyDescent="0.25">
      <c r="A65" s="85" t="s">
        <v>258</v>
      </c>
      <c r="B65" s="85" t="s">
        <v>53</v>
      </c>
      <c r="C65" s="85" t="s">
        <v>44</v>
      </c>
      <c r="D65" s="111"/>
      <c r="E65" s="111"/>
      <c r="F65" s="85">
        <v>600</v>
      </c>
      <c r="G65" s="85"/>
      <c r="H65" s="85">
        <v>14.6</v>
      </c>
      <c r="I65" s="85">
        <v>62</v>
      </c>
      <c r="J65" s="187">
        <v>24.8</v>
      </c>
      <c r="K65" s="85">
        <v>31.1</v>
      </c>
      <c r="L65" s="85">
        <v>45</v>
      </c>
      <c r="M65" s="85">
        <v>76</v>
      </c>
      <c r="N65" s="187">
        <v>30.4</v>
      </c>
      <c r="O65" s="85">
        <v>95.9</v>
      </c>
      <c r="P65" s="85">
        <f t="shared" si="8"/>
        <v>138</v>
      </c>
      <c r="Q65" s="50">
        <f t="shared" si="11"/>
        <v>0</v>
      </c>
      <c r="R65" s="70">
        <f t="shared" si="12"/>
        <v>0</v>
      </c>
      <c r="S65" s="70">
        <f t="shared" si="13"/>
        <v>0</v>
      </c>
      <c r="T65" s="70">
        <f t="shared" si="14"/>
        <v>0</v>
      </c>
      <c r="U65" s="70">
        <f t="shared" si="15"/>
        <v>0</v>
      </c>
      <c r="V65" s="70">
        <f t="shared" si="16"/>
        <v>0</v>
      </c>
      <c r="W65" s="345">
        <f t="shared" si="9"/>
        <v>0</v>
      </c>
      <c r="X65" s="345">
        <f t="shared" si="10"/>
        <v>0</v>
      </c>
      <c r="Y65" s="85"/>
      <c r="Z65" s="85">
        <v>1</v>
      </c>
      <c r="AA65" s="85">
        <v>1</v>
      </c>
      <c r="AB65" s="86">
        <f t="shared" si="17"/>
        <v>0</v>
      </c>
      <c r="AC65" s="86">
        <f t="shared" si="18"/>
        <v>0</v>
      </c>
      <c r="AD65" s="77"/>
      <c r="AE65" s="76"/>
      <c r="AF65" s="76"/>
      <c r="AG65" s="76"/>
      <c r="AH65" s="76"/>
      <c r="AI65" s="76"/>
      <c r="AJ65" s="76"/>
    </row>
    <row r="66" spans="1:36" s="11" customFormat="1" ht="21" x14ac:dyDescent="0.25">
      <c r="A66" s="87" t="s">
        <v>258</v>
      </c>
      <c r="B66" s="87" t="s">
        <v>41</v>
      </c>
      <c r="C66" s="87" t="s">
        <v>50</v>
      </c>
      <c r="D66" s="112"/>
      <c r="E66" s="112"/>
      <c r="F66" s="87">
        <v>600</v>
      </c>
      <c r="G66" s="87">
        <v>1.83</v>
      </c>
      <c r="H66" s="87"/>
      <c r="I66" s="87">
        <v>0</v>
      </c>
      <c r="J66" s="188"/>
      <c r="K66" s="87"/>
      <c r="L66" s="87"/>
      <c r="M66" s="87"/>
      <c r="N66" s="188"/>
      <c r="O66" s="87"/>
      <c r="P66" s="87">
        <f t="shared" si="8"/>
        <v>0</v>
      </c>
      <c r="Q66" s="78">
        <f t="shared" si="11"/>
        <v>0</v>
      </c>
      <c r="R66" s="12">
        <f>(D66*F66/1000*G66)+Q66</f>
        <v>0</v>
      </c>
      <c r="S66" s="79">
        <f t="shared" si="13"/>
        <v>0</v>
      </c>
      <c r="T66" s="79">
        <f t="shared" si="14"/>
        <v>0</v>
      </c>
      <c r="U66" s="79">
        <f t="shared" si="15"/>
        <v>0</v>
      </c>
      <c r="V66" s="79"/>
      <c r="W66" s="458">
        <f t="shared" si="9"/>
        <v>0</v>
      </c>
      <c r="X66" s="458">
        <f t="shared" si="10"/>
        <v>0</v>
      </c>
      <c r="Y66" s="87"/>
      <c r="Z66" s="87">
        <v>1</v>
      </c>
      <c r="AA66" s="87">
        <v>1</v>
      </c>
      <c r="AB66" s="91"/>
      <c r="AC66" s="91"/>
      <c r="AD66" s="77"/>
      <c r="AE66" s="76"/>
      <c r="AF66" s="76"/>
      <c r="AG66" s="76"/>
      <c r="AH66" s="76"/>
      <c r="AI66" s="76"/>
      <c r="AJ66" s="76"/>
    </row>
    <row r="67" spans="1:36" s="11" customFormat="1" ht="21" x14ac:dyDescent="0.25">
      <c r="A67" s="87" t="s">
        <v>258</v>
      </c>
      <c r="B67" s="87" t="s">
        <v>41</v>
      </c>
      <c r="C67" s="87" t="s">
        <v>468</v>
      </c>
      <c r="D67" s="112"/>
      <c r="E67" s="112"/>
      <c r="F67" s="87">
        <v>600</v>
      </c>
      <c r="G67" s="87">
        <v>5.7</v>
      </c>
      <c r="H67" s="87"/>
      <c r="I67" s="87">
        <v>0</v>
      </c>
      <c r="J67" s="188"/>
      <c r="K67" s="87"/>
      <c r="L67" s="87"/>
      <c r="M67" s="87"/>
      <c r="N67" s="188"/>
      <c r="O67" s="87"/>
      <c r="P67" s="87">
        <f t="shared" si="8"/>
        <v>0</v>
      </c>
      <c r="Q67" s="78">
        <f t="shared" si="11"/>
        <v>0</v>
      </c>
      <c r="R67" s="12">
        <f>(D67*F67/1000*G67)+Q67</f>
        <v>0</v>
      </c>
      <c r="S67" s="79">
        <f t="shared" si="13"/>
        <v>0</v>
      </c>
      <c r="T67" s="79">
        <f t="shared" si="14"/>
        <v>0</v>
      </c>
      <c r="U67" s="79">
        <f t="shared" si="15"/>
        <v>0</v>
      </c>
      <c r="V67" s="79"/>
      <c r="W67" s="458">
        <f t="shared" si="9"/>
        <v>0</v>
      </c>
      <c r="X67" s="458">
        <f t="shared" si="10"/>
        <v>0</v>
      </c>
      <c r="Y67" s="87"/>
      <c r="Z67" s="87">
        <v>1</v>
      </c>
      <c r="AA67" s="87">
        <v>1</v>
      </c>
      <c r="AB67" s="91"/>
      <c r="AC67" s="91"/>
      <c r="AD67" s="77"/>
      <c r="AE67" s="76"/>
      <c r="AF67" s="76"/>
      <c r="AG67" s="76"/>
      <c r="AH67" s="76"/>
      <c r="AI67" s="76"/>
      <c r="AJ67" s="76"/>
    </row>
    <row r="68" spans="1:36" s="11" customFormat="1" ht="21" x14ac:dyDescent="0.25">
      <c r="A68" s="87" t="s">
        <v>258</v>
      </c>
      <c r="B68" s="87" t="s">
        <v>41</v>
      </c>
      <c r="C68" s="87" t="s">
        <v>52</v>
      </c>
      <c r="D68" s="112"/>
      <c r="E68" s="112"/>
      <c r="F68" s="87">
        <v>600</v>
      </c>
      <c r="G68" s="87">
        <v>21.9</v>
      </c>
      <c r="H68" s="87"/>
      <c r="I68" s="87">
        <v>0</v>
      </c>
      <c r="J68" s="188"/>
      <c r="K68" s="87"/>
      <c r="L68" s="87"/>
      <c r="M68" s="87"/>
      <c r="N68" s="188"/>
      <c r="O68" s="87"/>
      <c r="P68" s="87">
        <f t="shared" si="8"/>
        <v>0</v>
      </c>
      <c r="Q68" s="78">
        <f t="shared" si="11"/>
        <v>0</v>
      </c>
      <c r="R68" s="12">
        <f>(D68*F68/1000*G68)+Q68</f>
        <v>0</v>
      </c>
      <c r="S68" s="79">
        <f t="shared" si="13"/>
        <v>0</v>
      </c>
      <c r="T68" s="79">
        <f t="shared" si="14"/>
        <v>0</v>
      </c>
      <c r="U68" s="79">
        <f t="shared" si="15"/>
        <v>0</v>
      </c>
      <c r="V68" s="79"/>
      <c r="W68" s="458">
        <f t="shared" si="9"/>
        <v>0</v>
      </c>
      <c r="X68" s="458">
        <f t="shared" si="10"/>
        <v>0</v>
      </c>
      <c r="Y68" s="87"/>
      <c r="Z68" s="87">
        <v>1</v>
      </c>
      <c r="AA68" s="87">
        <v>1</v>
      </c>
      <c r="AB68" s="91"/>
      <c r="AC68" s="91"/>
      <c r="AD68" s="77"/>
      <c r="AE68" s="76"/>
      <c r="AF68" s="76"/>
      <c r="AG68" s="76"/>
      <c r="AH68" s="76"/>
      <c r="AI68" s="76"/>
      <c r="AJ68" s="76"/>
    </row>
    <row r="69" spans="1:36" s="11" customFormat="1" ht="21" x14ac:dyDescent="0.25">
      <c r="A69" s="87" t="s">
        <v>258</v>
      </c>
      <c r="B69" s="87" t="s">
        <v>41</v>
      </c>
      <c r="C69" s="87" t="s">
        <v>51</v>
      </c>
      <c r="D69" s="112"/>
      <c r="E69" s="112"/>
      <c r="F69" s="87">
        <v>600</v>
      </c>
      <c r="G69" s="198">
        <v>9.1300000000000008</v>
      </c>
      <c r="H69" s="87"/>
      <c r="I69" s="87">
        <v>0</v>
      </c>
      <c r="J69" s="188"/>
      <c r="K69" s="87"/>
      <c r="L69" s="87"/>
      <c r="M69" s="87"/>
      <c r="N69" s="188"/>
      <c r="O69" s="87"/>
      <c r="P69" s="87">
        <f t="shared" si="8"/>
        <v>0</v>
      </c>
      <c r="Q69" s="78">
        <f t="shared" si="11"/>
        <v>0</v>
      </c>
      <c r="R69" s="12">
        <f>(D69*F69/1000*G69)+Q69</f>
        <v>0</v>
      </c>
      <c r="S69" s="79">
        <f t="shared" si="13"/>
        <v>0</v>
      </c>
      <c r="T69" s="79">
        <f t="shared" si="14"/>
        <v>0</v>
      </c>
      <c r="U69" s="79">
        <f t="shared" si="15"/>
        <v>0</v>
      </c>
      <c r="V69" s="79"/>
      <c r="W69" s="458">
        <f t="shared" si="9"/>
        <v>0</v>
      </c>
      <c r="X69" s="458">
        <f t="shared" si="10"/>
        <v>0</v>
      </c>
      <c r="Y69" s="87"/>
      <c r="Z69" s="87">
        <v>1</v>
      </c>
      <c r="AA69" s="87">
        <v>1</v>
      </c>
      <c r="AB69" s="91"/>
      <c r="AC69" s="91"/>
      <c r="AD69" s="77"/>
      <c r="AE69" s="76"/>
      <c r="AF69" s="76"/>
      <c r="AG69" s="76"/>
      <c r="AH69" s="76"/>
      <c r="AI69" s="76"/>
      <c r="AJ69" s="76"/>
    </row>
    <row r="70" spans="1:36" s="11" customFormat="1" ht="21" x14ac:dyDescent="0.25">
      <c r="A70" s="85" t="s">
        <v>258</v>
      </c>
      <c r="B70" s="85" t="s">
        <v>41</v>
      </c>
      <c r="C70" s="85" t="s">
        <v>42</v>
      </c>
      <c r="D70" s="111"/>
      <c r="E70" s="111"/>
      <c r="F70" s="85">
        <v>600</v>
      </c>
      <c r="G70" s="85"/>
      <c r="H70" s="85">
        <v>9</v>
      </c>
      <c r="I70" s="85">
        <v>39</v>
      </c>
      <c r="J70" s="187">
        <v>15.6</v>
      </c>
      <c r="K70" s="85">
        <v>26.1</v>
      </c>
      <c r="L70" s="85">
        <v>34.799999999999997</v>
      </c>
      <c r="M70" s="85">
        <v>99</v>
      </c>
      <c r="N70" s="187">
        <v>39.6</v>
      </c>
      <c r="O70" s="85">
        <v>127</v>
      </c>
      <c r="P70" s="85">
        <f t="shared" si="8"/>
        <v>138</v>
      </c>
      <c r="Q70" s="50">
        <f t="shared" si="11"/>
        <v>0</v>
      </c>
      <c r="R70" s="70">
        <f t="shared" ref="R70:R91" si="19">(D70*F70/1000*H70)+Q70</f>
        <v>0</v>
      </c>
      <c r="S70" s="70">
        <f t="shared" si="13"/>
        <v>0</v>
      </c>
      <c r="T70" s="70">
        <f t="shared" si="14"/>
        <v>0</v>
      </c>
      <c r="U70" s="70">
        <f t="shared" si="15"/>
        <v>0</v>
      </c>
      <c r="V70" s="70">
        <f t="shared" si="16"/>
        <v>0</v>
      </c>
      <c r="W70" s="345">
        <f t="shared" si="9"/>
        <v>0</v>
      </c>
      <c r="X70" s="345">
        <f t="shared" si="10"/>
        <v>0</v>
      </c>
      <c r="Y70" s="85"/>
      <c r="Z70" s="85">
        <v>1</v>
      </c>
      <c r="AA70" s="85">
        <v>1</v>
      </c>
      <c r="AB70" s="86">
        <f t="shared" si="17"/>
        <v>0</v>
      </c>
      <c r="AC70" s="86">
        <f t="shared" si="18"/>
        <v>0</v>
      </c>
      <c r="AD70" s="77"/>
      <c r="AE70" s="76"/>
      <c r="AF70" s="76"/>
      <c r="AG70" s="76"/>
      <c r="AH70" s="76"/>
      <c r="AI70" s="76"/>
      <c r="AJ70" s="76"/>
    </row>
    <row r="71" spans="1:36" s="11" customFormat="1" ht="21" x14ac:dyDescent="0.25">
      <c r="A71" s="85" t="s">
        <v>258</v>
      </c>
      <c r="B71" s="85" t="s">
        <v>41</v>
      </c>
      <c r="C71" s="85" t="s">
        <v>124</v>
      </c>
      <c r="D71" s="111"/>
      <c r="E71" s="111"/>
      <c r="F71" s="85">
        <v>600</v>
      </c>
      <c r="G71" s="85"/>
      <c r="H71" s="85"/>
      <c r="I71" s="85"/>
      <c r="J71" s="187"/>
      <c r="K71" s="85"/>
      <c r="L71" s="85">
        <v>43.8</v>
      </c>
      <c r="M71" s="85">
        <v>138</v>
      </c>
      <c r="N71" s="187">
        <v>55.2</v>
      </c>
      <c r="O71" s="85">
        <v>153.1</v>
      </c>
      <c r="P71" s="85">
        <f t="shared" si="8"/>
        <v>138</v>
      </c>
      <c r="Q71" s="50">
        <f t="shared" si="11"/>
        <v>0</v>
      </c>
      <c r="R71" s="70">
        <f t="shared" si="19"/>
        <v>0</v>
      </c>
      <c r="S71" s="70">
        <f t="shared" si="13"/>
        <v>0</v>
      </c>
      <c r="T71" s="70">
        <f t="shared" si="14"/>
        <v>0</v>
      </c>
      <c r="U71" s="70">
        <f t="shared" si="15"/>
        <v>0</v>
      </c>
      <c r="V71" s="70">
        <f t="shared" si="16"/>
        <v>0</v>
      </c>
      <c r="W71" s="345">
        <f t="shared" si="9"/>
        <v>0</v>
      </c>
      <c r="X71" s="345">
        <f t="shared" si="10"/>
        <v>0</v>
      </c>
      <c r="Y71" s="85"/>
      <c r="Z71" s="85">
        <v>1</v>
      </c>
      <c r="AA71" s="85">
        <v>1</v>
      </c>
      <c r="AB71" s="86">
        <f t="shared" si="17"/>
        <v>0</v>
      </c>
      <c r="AC71" s="86">
        <f t="shared" si="18"/>
        <v>0</v>
      </c>
      <c r="AD71" s="77"/>
      <c r="AE71" s="76"/>
      <c r="AF71" s="76"/>
      <c r="AG71" s="76"/>
      <c r="AH71" s="76"/>
      <c r="AI71" s="76"/>
      <c r="AJ71" s="76"/>
    </row>
    <row r="72" spans="1:36" s="11" customFormat="1" ht="21" x14ac:dyDescent="0.25">
      <c r="A72" s="85" t="s">
        <v>258</v>
      </c>
      <c r="B72" s="85" t="s">
        <v>41</v>
      </c>
      <c r="C72" s="85" t="s">
        <v>43</v>
      </c>
      <c r="D72" s="111"/>
      <c r="E72" s="111"/>
      <c r="F72" s="85">
        <v>600</v>
      </c>
      <c r="G72" s="85"/>
      <c r="H72" s="85">
        <v>33</v>
      </c>
      <c r="I72" s="85">
        <v>138</v>
      </c>
      <c r="J72" s="187">
        <v>55.2</v>
      </c>
      <c r="K72" s="85">
        <v>127</v>
      </c>
      <c r="L72" s="85"/>
      <c r="M72" s="85"/>
      <c r="N72" s="187"/>
      <c r="O72" s="85"/>
      <c r="P72" s="85">
        <f t="shared" si="8"/>
        <v>138</v>
      </c>
      <c r="Q72" s="50">
        <f t="shared" si="11"/>
        <v>0</v>
      </c>
      <c r="R72" s="70">
        <f t="shared" si="19"/>
        <v>0</v>
      </c>
      <c r="S72" s="70">
        <f t="shared" si="13"/>
        <v>0</v>
      </c>
      <c r="T72" s="70">
        <f t="shared" si="14"/>
        <v>0</v>
      </c>
      <c r="U72" s="70">
        <f t="shared" si="15"/>
        <v>0</v>
      </c>
      <c r="V72" s="70">
        <f t="shared" si="16"/>
        <v>0</v>
      </c>
      <c r="W72" s="345">
        <f t="shared" si="9"/>
        <v>0</v>
      </c>
      <c r="X72" s="345">
        <f t="shared" si="10"/>
        <v>0</v>
      </c>
      <c r="Y72" s="85"/>
      <c r="Z72" s="85">
        <v>1</v>
      </c>
      <c r="AA72" s="85">
        <v>1</v>
      </c>
      <c r="AB72" s="86">
        <f t="shared" si="17"/>
        <v>0</v>
      </c>
      <c r="AC72" s="86">
        <f t="shared" si="18"/>
        <v>0</v>
      </c>
      <c r="AD72" s="77"/>
      <c r="AE72" s="76"/>
      <c r="AF72" s="76"/>
      <c r="AG72" s="76"/>
      <c r="AH72" s="76"/>
      <c r="AI72" s="76"/>
      <c r="AJ72" s="76"/>
    </row>
    <row r="73" spans="1:36" s="11" customFormat="1" ht="21" x14ac:dyDescent="0.25">
      <c r="A73" s="85" t="s">
        <v>258</v>
      </c>
      <c r="B73" s="85" t="s">
        <v>41</v>
      </c>
      <c r="C73" s="85" t="s">
        <v>46</v>
      </c>
      <c r="D73" s="111"/>
      <c r="E73" s="111"/>
      <c r="F73" s="85">
        <v>600</v>
      </c>
      <c r="G73" s="85"/>
      <c r="H73" s="85">
        <v>20</v>
      </c>
      <c r="I73" s="85">
        <v>85</v>
      </c>
      <c r="J73" s="187">
        <v>34</v>
      </c>
      <c r="K73" s="85">
        <v>65.099999999999994</v>
      </c>
      <c r="L73" s="85">
        <v>19</v>
      </c>
      <c r="M73" s="85">
        <v>53</v>
      </c>
      <c r="N73" s="187">
        <v>21.2</v>
      </c>
      <c r="O73" s="85">
        <v>61.9</v>
      </c>
      <c r="P73" s="85">
        <f t="shared" si="8"/>
        <v>138</v>
      </c>
      <c r="Q73" s="50">
        <f t="shared" ref="Q73:Q91" si="20">IF(E73="SI", D73*F73/1000*L73, 0)</f>
        <v>0</v>
      </c>
      <c r="R73" s="70">
        <f t="shared" si="19"/>
        <v>0</v>
      </c>
      <c r="S73" s="70">
        <f t="shared" ref="S73:S91" si="21">(D73*F73/1000*L73)-Q73</f>
        <v>0</v>
      </c>
      <c r="T73" s="70">
        <f t="shared" ref="T73:T91" si="22">IF(Q73=0,I73*D73*F73/1000,((I73*D73*F73/1000)+(M73*D73*F73/1000)))</f>
        <v>0</v>
      </c>
      <c r="U73" s="70">
        <f t="shared" ref="U73:U91" si="23">IF(Q73=0, M73*D73*F73/1000, 0)</f>
        <v>0</v>
      </c>
      <c r="V73" s="70">
        <f t="shared" ref="V73:V91" si="24">D73*F73/1000</f>
        <v>0</v>
      </c>
      <c r="W73" s="345">
        <f t="shared" si="9"/>
        <v>0</v>
      </c>
      <c r="X73" s="345">
        <f t="shared" si="10"/>
        <v>0</v>
      </c>
      <c r="Y73" s="85"/>
      <c r="Z73" s="85">
        <v>1</v>
      </c>
      <c r="AA73" s="85">
        <v>1</v>
      </c>
      <c r="AB73" s="86">
        <f t="shared" ref="AB73:AB91" si="25">Z73*D73</f>
        <v>0</v>
      </c>
      <c r="AC73" s="86">
        <f t="shared" ref="AC73:AC91" si="26">AA73*D73</f>
        <v>0</v>
      </c>
      <c r="AD73" s="77"/>
      <c r="AE73" s="76"/>
      <c r="AF73" s="76"/>
      <c r="AG73" s="76"/>
      <c r="AH73" s="76"/>
      <c r="AI73" s="76"/>
      <c r="AJ73" s="76"/>
    </row>
    <row r="74" spans="1:36" s="11" customFormat="1" ht="21" x14ac:dyDescent="0.25">
      <c r="A74" s="85" t="s">
        <v>258</v>
      </c>
      <c r="B74" s="85" t="s">
        <v>41</v>
      </c>
      <c r="C74" s="85" t="s">
        <v>47</v>
      </c>
      <c r="D74" s="111"/>
      <c r="E74" s="111"/>
      <c r="F74" s="85">
        <v>600</v>
      </c>
      <c r="G74" s="85"/>
      <c r="H74" s="85">
        <v>13</v>
      </c>
      <c r="I74" s="85">
        <v>53</v>
      </c>
      <c r="J74" s="187">
        <v>21.2</v>
      </c>
      <c r="K74" s="85">
        <v>42</v>
      </c>
      <c r="L74" s="85">
        <v>26.3</v>
      </c>
      <c r="M74" s="85">
        <v>85</v>
      </c>
      <c r="N74" s="187">
        <v>34</v>
      </c>
      <c r="O74" s="85">
        <v>85</v>
      </c>
      <c r="P74" s="85">
        <f t="shared" ref="P74:P91" si="27">I74+M74</f>
        <v>138</v>
      </c>
      <c r="Q74" s="50">
        <f t="shared" si="20"/>
        <v>0</v>
      </c>
      <c r="R74" s="70">
        <f t="shared" si="19"/>
        <v>0</v>
      </c>
      <c r="S74" s="70">
        <f t="shared" si="21"/>
        <v>0</v>
      </c>
      <c r="T74" s="70">
        <f t="shared" si="22"/>
        <v>0</v>
      </c>
      <c r="U74" s="70">
        <f t="shared" si="23"/>
        <v>0</v>
      </c>
      <c r="V74" s="70">
        <f t="shared" si="24"/>
        <v>0</v>
      </c>
      <c r="W74" s="345">
        <f t="shared" ref="W74:W91" si="28">IF(Q74=0,D74*F74/1000*J74+D74*F74/1000*N74,(J74*D74*F74/1000)+(N74*D74*F74/1000))</f>
        <v>0</v>
      </c>
      <c r="X74" s="345">
        <f t="shared" ref="X74:X91" si="29">IF(Q74=0,D74*F74/1000*K74+D74*F74/1000*O74,(K74*D74*F74/1000)+(O74*D74*F74/1000))</f>
        <v>0</v>
      </c>
      <c r="Y74" s="85"/>
      <c r="Z74" s="85">
        <v>1</v>
      </c>
      <c r="AA74" s="85">
        <v>1</v>
      </c>
      <c r="AB74" s="86">
        <f t="shared" si="25"/>
        <v>0</v>
      </c>
      <c r="AC74" s="86">
        <f t="shared" si="26"/>
        <v>0</v>
      </c>
      <c r="AD74" s="77"/>
      <c r="AE74" s="76"/>
      <c r="AF74" s="76"/>
      <c r="AG74" s="76"/>
      <c r="AH74" s="76"/>
      <c r="AI74" s="76"/>
      <c r="AJ74" s="76"/>
    </row>
    <row r="75" spans="1:36" s="11" customFormat="1" ht="31.5" x14ac:dyDescent="0.25">
      <c r="A75" s="85" t="s">
        <v>258</v>
      </c>
      <c r="B75" s="85" t="s">
        <v>41</v>
      </c>
      <c r="C75" s="85" t="s">
        <v>48</v>
      </c>
      <c r="D75" s="111"/>
      <c r="E75" s="111"/>
      <c r="F75" s="85">
        <v>600</v>
      </c>
      <c r="G75" s="85"/>
      <c r="H75" s="85">
        <v>9</v>
      </c>
      <c r="I75" s="85">
        <v>62</v>
      </c>
      <c r="J75" s="187">
        <v>24.8</v>
      </c>
      <c r="K75" s="85">
        <v>28.9</v>
      </c>
      <c r="L75" s="85">
        <v>30.6</v>
      </c>
      <c r="M75" s="85">
        <v>76</v>
      </c>
      <c r="N75" s="187">
        <v>30.4</v>
      </c>
      <c r="O75" s="85">
        <v>96.1</v>
      </c>
      <c r="P75" s="85">
        <f t="shared" si="27"/>
        <v>138</v>
      </c>
      <c r="Q75" s="50">
        <f t="shared" si="20"/>
        <v>0</v>
      </c>
      <c r="R75" s="70">
        <f t="shared" si="19"/>
        <v>0</v>
      </c>
      <c r="S75" s="70">
        <f t="shared" si="21"/>
        <v>0</v>
      </c>
      <c r="T75" s="70">
        <f t="shared" si="22"/>
        <v>0</v>
      </c>
      <c r="U75" s="70">
        <f t="shared" si="23"/>
        <v>0</v>
      </c>
      <c r="V75" s="70">
        <f t="shared" si="24"/>
        <v>0</v>
      </c>
      <c r="W75" s="345">
        <f t="shared" si="28"/>
        <v>0</v>
      </c>
      <c r="X75" s="345">
        <f t="shared" si="29"/>
        <v>0</v>
      </c>
      <c r="Y75" s="85"/>
      <c r="Z75" s="85">
        <v>1</v>
      </c>
      <c r="AA75" s="85">
        <v>1</v>
      </c>
      <c r="AB75" s="86">
        <f t="shared" si="25"/>
        <v>0</v>
      </c>
      <c r="AC75" s="86">
        <f t="shared" si="26"/>
        <v>0</v>
      </c>
      <c r="AD75" s="77"/>
      <c r="AE75" s="76"/>
      <c r="AF75" s="76"/>
      <c r="AG75" s="76"/>
      <c r="AH75" s="76"/>
      <c r="AI75" s="76"/>
      <c r="AJ75" s="76"/>
    </row>
    <row r="76" spans="1:36" s="11" customFormat="1" ht="31.5" x14ac:dyDescent="0.25">
      <c r="A76" s="85" t="s">
        <v>258</v>
      </c>
      <c r="B76" s="85" t="s">
        <v>41</v>
      </c>
      <c r="C76" s="85" t="s">
        <v>125</v>
      </c>
      <c r="D76" s="111"/>
      <c r="E76" s="111"/>
      <c r="F76" s="85">
        <v>600</v>
      </c>
      <c r="G76" s="85"/>
      <c r="H76" s="85"/>
      <c r="I76" s="85"/>
      <c r="J76" s="187"/>
      <c r="K76" s="85"/>
      <c r="L76" s="85">
        <v>39.6</v>
      </c>
      <c r="M76" s="85">
        <v>138</v>
      </c>
      <c r="N76" s="187">
        <v>55.2</v>
      </c>
      <c r="O76" s="85">
        <v>125</v>
      </c>
      <c r="P76" s="85">
        <f t="shared" si="27"/>
        <v>138</v>
      </c>
      <c r="Q76" s="50">
        <f t="shared" si="20"/>
        <v>0</v>
      </c>
      <c r="R76" s="70">
        <f t="shared" si="19"/>
        <v>0</v>
      </c>
      <c r="S76" s="70">
        <f t="shared" si="21"/>
        <v>0</v>
      </c>
      <c r="T76" s="70">
        <f t="shared" si="22"/>
        <v>0</v>
      </c>
      <c r="U76" s="70">
        <f t="shared" si="23"/>
        <v>0</v>
      </c>
      <c r="V76" s="70">
        <f t="shared" si="24"/>
        <v>0</v>
      </c>
      <c r="W76" s="345">
        <f t="shared" si="28"/>
        <v>0</v>
      </c>
      <c r="X76" s="345">
        <f t="shared" si="29"/>
        <v>0</v>
      </c>
      <c r="Y76" s="85"/>
      <c r="Z76" s="85">
        <v>1</v>
      </c>
      <c r="AA76" s="85">
        <v>1</v>
      </c>
      <c r="AB76" s="86">
        <f t="shared" si="25"/>
        <v>0</v>
      </c>
      <c r="AC76" s="86">
        <f t="shared" si="26"/>
        <v>0</v>
      </c>
      <c r="AD76" s="77"/>
      <c r="AE76" s="76"/>
      <c r="AF76" s="76"/>
      <c r="AG76" s="76"/>
      <c r="AH76" s="76"/>
      <c r="AI76" s="76"/>
      <c r="AJ76" s="76"/>
    </row>
    <row r="77" spans="1:36" s="11" customFormat="1" ht="21" x14ac:dyDescent="0.25">
      <c r="A77" s="85" t="s">
        <v>258</v>
      </c>
      <c r="B77" s="85" t="s">
        <v>41</v>
      </c>
      <c r="C77" s="85" t="s">
        <v>45</v>
      </c>
      <c r="D77" s="111"/>
      <c r="E77" s="111"/>
      <c r="F77" s="85">
        <v>600</v>
      </c>
      <c r="G77" s="85"/>
      <c r="H77" s="85">
        <v>33</v>
      </c>
      <c r="I77" s="85">
        <v>138</v>
      </c>
      <c r="J77" s="187">
        <v>55.2</v>
      </c>
      <c r="K77" s="85">
        <v>127</v>
      </c>
      <c r="L77" s="85"/>
      <c r="M77" s="85"/>
      <c r="N77" s="187"/>
      <c r="O77" s="85"/>
      <c r="P77" s="85">
        <f t="shared" si="27"/>
        <v>138</v>
      </c>
      <c r="Q77" s="50">
        <f t="shared" si="20"/>
        <v>0</v>
      </c>
      <c r="R77" s="70">
        <f t="shared" si="19"/>
        <v>0</v>
      </c>
      <c r="S77" s="70">
        <f t="shared" si="21"/>
        <v>0</v>
      </c>
      <c r="T77" s="70">
        <f t="shared" si="22"/>
        <v>0</v>
      </c>
      <c r="U77" s="70">
        <f t="shared" si="23"/>
        <v>0</v>
      </c>
      <c r="V77" s="70">
        <f t="shared" si="24"/>
        <v>0</v>
      </c>
      <c r="W77" s="345">
        <f t="shared" si="28"/>
        <v>0</v>
      </c>
      <c r="X77" s="345">
        <f t="shared" si="29"/>
        <v>0</v>
      </c>
      <c r="Y77" s="85"/>
      <c r="Z77" s="85">
        <v>1</v>
      </c>
      <c r="AA77" s="85">
        <v>1</v>
      </c>
      <c r="AB77" s="86">
        <f t="shared" si="25"/>
        <v>0</v>
      </c>
      <c r="AC77" s="86">
        <f t="shared" si="26"/>
        <v>0</v>
      </c>
      <c r="AD77" s="77"/>
      <c r="AE77" s="76"/>
      <c r="AF77" s="76"/>
      <c r="AG77" s="76"/>
      <c r="AH77" s="76"/>
      <c r="AI77" s="76"/>
      <c r="AJ77" s="76"/>
    </row>
    <row r="78" spans="1:36" s="11" customFormat="1" ht="21" x14ac:dyDescent="0.25">
      <c r="A78" s="85" t="s">
        <v>258</v>
      </c>
      <c r="B78" s="85" t="s">
        <v>41</v>
      </c>
      <c r="C78" s="85" t="s">
        <v>49</v>
      </c>
      <c r="D78" s="111"/>
      <c r="E78" s="111"/>
      <c r="F78" s="85">
        <v>600</v>
      </c>
      <c r="G78" s="85"/>
      <c r="H78" s="85">
        <v>9</v>
      </c>
      <c r="I78" s="85">
        <v>39</v>
      </c>
      <c r="J78" s="187">
        <v>15.6</v>
      </c>
      <c r="K78" s="85">
        <v>24.8</v>
      </c>
      <c r="L78" s="85">
        <v>37.1</v>
      </c>
      <c r="M78" s="85">
        <v>99</v>
      </c>
      <c r="N78" s="187">
        <v>39.6</v>
      </c>
      <c r="O78" s="85">
        <v>102.2</v>
      </c>
      <c r="P78" s="85">
        <f t="shared" si="27"/>
        <v>138</v>
      </c>
      <c r="Q78" s="50">
        <f t="shared" si="20"/>
        <v>0</v>
      </c>
      <c r="R78" s="70">
        <f t="shared" si="19"/>
        <v>0</v>
      </c>
      <c r="S78" s="70">
        <f t="shared" si="21"/>
        <v>0</v>
      </c>
      <c r="T78" s="70">
        <f t="shared" si="22"/>
        <v>0</v>
      </c>
      <c r="U78" s="70">
        <f t="shared" si="23"/>
        <v>0</v>
      </c>
      <c r="V78" s="70">
        <f t="shared" si="24"/>
        <v>0</v>
      </c>
      <c r="W78" s="345">
        <f t="shared" si="28"/>
        <v>0</v>
      </c>
      <c r="X78" s="345">
        <f t="shared" si="29"/>
        <v>0</v>
      </c>
      <c r="Y78" s="85"/>
      <c r="Z78" s="85">
        <v>1</v>
      </c>
      <c r="AA78" s="85">
        <v>1</v>
      </c>
      <c r="AB78" s="86">
        <f t="shared" si="25"/>
        <v>0</v>
      </c>
      <c r="AC78" s="86">
        <f t="shared" si="26"/>
        <v>0</v>
      </c>
      <c r="AD78" s="77"/>
      <c r="AE78" s="76"/>
      <c r="AF78" s="76"/>
      <c r="AG78" s="76"/>
      <c r="AH78" s="76"/>
      <c r="AI78" s="76"/>
      <c r="AJ78" s="76"/>
    </row>
    <row r="79" spans="1:36" s="11" customFormat="1" ht="21" x14ac:dyDescent="0.25">
      <c r="A79" s="85" t="s">
        <v>258</v>
      </c>
      <c r="B79" s="85" t="s">
        <v>41</v>
      </c>
      <c r="C79" s="85" t="s">
        <v>126</v>
      </c>
      <c r="D79" s="111"/>
      <c r="E79" s="111"/>
      <c r="F79" s="85">
        <v>600</v>
      </c>
      <c r="G79" s="85"/>
      <c r="H79" s="85"/>
      <c r="I79" s="85"/>
      <c r="J79" s="187"/>
      <c r="K79" s="85"/>
      <c r="L79" s="85">
        <v>46.1</v>
      </c>
      <c r="M79" s="85">
        <v>138</v>
      </c>
      <c r="N79" s="187">
        <v>55.2</v>
      </c>
      <c r="O79" s="85">
        <v>127</v>
      </c>
      <c r="P79" s="85">
        <f t="shared" si="27"/>
        <v>138</v>
      </c>
      <c r="Q79" s="50">
        <f t="shared" si="20"/>
        <v>0</v>
      </c>
      <c r="R79" s="70">
        <f t="shared" si="19"/>
        <v>0</v>
      </c>
      <c r="S79" s="70">
        <f t="shared" si="21"/>
        <v>0</v>
      </c>
      <c r="T79" s="70">
        <f t="shared" si="22"/>
        <v>0</v>
      </c>
      <c r="U79" s="70">
        <f t="shared" si="23"/>
        <v>0</v>
      </c>
      <c r="V79" s="70">
        <f t="shared" si="24"/>
        <v>0</v>
      </c>
      <c r="W79" s="345">
        <f t="shared" si="28"/>
        <v>0</v>
      </c>
      <c r="X79" s="345">
        <f t="shared" si="29"/>
        <v>0</v>
      </c>
      <c r="Y79" s="85"/>
      <c r="Z79" s="85">
        <v>1</v>
      </c>
      <c r="AA79" s="85">
        <v>1</v>
      </c>
      <c r="AB79" s="86">
        <f t="shared" si="25"/>
        <v>0</v>
      </c>
      <c r="AC79" s="86">
        <f t="shared" si="26"/>
        <v>0</v>
      </c>
      <c r="AD79" s="77"/>
      <c r="AE79" s="76"/>
      <c r="AF79" s="76"/>
      <c r="AG79" s="76"/>
      <c r="AH79" s="76"/>
      <c r="AI79" s="76"/>
      <c r="AJ79" s="76"/>
    </row>
    <row r="80" spans="1:36" s="11" customFormat="1" ht="21" x14ac:dyDescent="0.25">
      <c r="A80" s="85" t="s">
        <v>258</v>
      </c>
      <c r="B80" s="85" t="s">
        <v>41</v>
      </c>
      <c r="C80" s="85" t="s">
        <v>44</v>
      </c>
      <c r="D80" s="111"/>
      <c r="E80" s="111"/>
      <c r="F80" s="85">
        <v>600</v>
      </c>
      <c r="G80" s="85"/>
      <c r="H80" s="85">
        <v>14.6</v>
      </c>
      <c r="I80" s="85">
        <v>62</v>
      </c>
      <c r="J80" s="187">
        <v>24.8</v>
      </c>
      <c r="K80" s="85">
        <v>31.1</v>
      </c>
      <c r="L80" s="85">
        <v>45</v>
      </c>
      <c r="M80" s="85">
        <v>76</v>
      </c>
      <c r="N80" s="187">
        <v>30.4</v>
      </c>
      <c r="O80" s="85">
        <v>95.9</v>
      </c>
      <c r="P80" s="85">
        <f t="shared" si="27"/>
        <v>138</v>
      </c>
      <c r="Q80" s="50">
        <f t="shared" si="20"/>
        <v>0</v>
      </c>
      <c r="R80" s="70">
        <f t="shared" si="19"/>
        <v>0</v>
      </c>
      <c r="S80" s="70">
        <f t="shared" si="21"/>
        <v>0</v>
      </c>
      <c r="T80" s="70">
        <f t="shared" si="22"/>
        <v>0</v>
      </c>
      <c r="U80" s="70">
        <f t="shared" si="23"/>
        <v>0</v>
      </c>
      <c r="V80" s="70">
        <f t="shared" si="24"/>
        <v>0</v>
      </c>
      <c r="W80" s="345">
        <f t="shared" si="28"/>
        <v>0</v>
      </c>
      <c r="X80" s="345">
        <f t="shared" si="29"/>
        <v>0</v>
      </c>
      <c r="Y80" s="85"/>
      <c r="Z80" s="85">
        <v>1</v>
      </c>
      <c r="AA80" s="85">
        <v>1</v>
      </c>
      <c r="AB80" s="86">
        <f t="shared" si="25"/>
        <v>0</v>
      </c>
      <c r="AC80" s="86">
        <f t="shared" si="26"/>
        <v>0</v>
      </c>
      <c r="AD80" s="77"/>
      <c r="AE80" s="76"/>
      <c r="AF80" s="76"/>
      <c r="AG80" s="76"/>
      <c r="AH80" s="76"/>
      <c r="AI80" s="76"/>
      <c r="AJ80" s="76"/>
    </row>
    <row r="81" spans="1:36" s="11" customFormat="1" x14ac:dyDescent="0.25">
      <c r="A81" s="85" t="s">
        <v>257</v>
      </c>
      <c r="B81" s="85" t="s">
        <v>55</v>
      </c>
      <c r="C81" s="85" t="s">
        <v>56</v>
      </c>
      <c r="D81" s="111"/>
      <c r="E81" s="111"/>
      <c r="F81" s="85">
        <v>800</v>
      </c>
      <c r="G81" s="85"/>
      <c r="H81" s="85">
        <v>3.2</v>
      </c>
      <c r="I81" s="85">
        <v>26</v>
      </c>
      <c r="J81" s="187">
        <v>10.4</v>
      </c>
      <c r="K81" s="85">
        <v>18.2</v>
      </c>
      <c r="L81" s="85">
        <v>23.5</v>
      </c>
      <c r="M81" s="85">
        <v>94</v>
      </c>
      <c r="N81" s="187">
        <v>37.6</v>
      </c>
      <c r="O81" s="85">
        <v>108.8</v>
      </c>
      <c r="P81" s="85">
        <f t="shared" si="27"/>
        <v>120</v>
      </c>
      <c r="Q81" s="50">
        <f t="shared" si="20"/>
        <v>0</v>
      </c>
      <c r="R81" s="70">
        <f t="shared" si="19"/>
        <v>0</v>
      </c>
      <c r="S81" s="70">
        <f t="shared" si="21"/>
        <v>0</v>
      </c>
      <c r="T81" s="70">
        <f t="shared" si="22"/>
        <v>0</v>
      </c>
      <c r="U81" s="70">
        <f t="shared" si="23"/>
        <v>0</v>
      </c>
      <c r="V81" s="70">
        <f t="shared" si="24"/>
        <v>0</v>
      </c>
      <c r="W81" s="345">
        <f t="shared" si="28"/>
        <v>0</v>
      </c>
      <c r="X81" s="345">
        <f t="shared" si="29"/>
        <v>0</v>
      </c>
      <c r="Y81" s="85"/>
      <c r="Z81" s="85">
        <v>1</v>
      </c>
      <c r="AA81" s="85">
        <v>1</v>
      </c>
      <c r="AB81" s="86">
        <f t="shared" si="25"/>
        <v>0</v>
      </c>
      <c r="AC81" s="86">
        <f t="shared" si="26"/>
        <v>0</v>
      </c>
      <c r="AD81" s="77"/>
      <c r="AE81" s="76"/>
      <c r="AF81" s="76"/>
      <c r="AG81" s="76"/>
      <c r="AH81" s="76"/>
      <c r="AI81" s="76"/>
      <c r="AJ81" s="76"/>
    </row>
    <row r="82" spans="1:36" s="11" customFormat="1" ht="21" x14ac:dyDescent="0.25">
      <c r="A82" s="85" t="s">
        <v>257</v>
      </c>
      <c r="B82" s="85" t="s">
        <v>55</v>
      </c>
      <c r="C82" s="85" t="s">
        <v>127</v>
      </c>
      <c r="D82" s="111"/>
      <c r="E82" s="111"/>
      <c r="F82" s="85">
        <v>800</v>
      </c>
      <c r="G82" s="85"/>
      <c r="H82" s="85"/>
      <c r="I82" s="85"/>
      <c r="J82" s="187"/>
      <c r="K82" s="85"/>
      <c r="L82" s="85">
        <v>26.7</v>
      </c>
      <c r="M82" s="85">
        <v>120</v>
      </c>
      <c r="N82" s="187">
        <v>48</v>
      </c>
      <c r="O82" s="85">
        <v>127</v>
      </c>
      <c r="P82" s="85">
        <f t="shared" si="27"/>
        <v>120</v>
      </c>
      <c r="Q82" s="50">
        <f t="shared" si="20"/>
        <v>0</v>
      </c>
      <c r="R82" s="70">
        <f t="shared" si="19"/>
        <v>0</v>
      </c>
      <c r="S82" s="70">
        <f t="shared" si="21"/>
        <v>0</v>
      </c>
      <c r="T82" s="70">
        <f t="shared" si="22"/>
        <v>0</v>
      </c>
      <c r="U82" s="70">
        <f t="shared" si="23"/>
        <v>0</v>
      </c>
      <c r="V82" s="70">
        <f t="shared" si="24"/>
        <v>0</v>
      </c>
      <c r="W82" s="345">
        <f t="shared" si="28"/>
        <v>0</v>
      </c>
      <c r="X82" s="345">
        <f t="shared" si="29"/>
        <v>0</v>
      </c>
      <c r="Y82" s="85"/>
      <c r="Z82" s="85">
        <v>1</v>
      </c>
      <c r="AA82" s="85">
        <v>1</v>
      </c>
      <c r="AB82" s="86">
        <f t="shared" si="25"/>
        <v>0</v>
      </c>
      <c r="AC82" s="86">
        <f t="shared" si="26"/>
        <v>0</v>
      </c>
      <c r="AD82" s="77"/>
      <c r="AE82" s="76"/>
      <c r="AF82" s="76"/>
      <c r="AG82" s="76"/>
      <c r="AH82" s="76"/>
      <c r="AI82" s="76"/>
      <c r="AJ82" s="76"/>
    </row>
    <row r="83" spans="1:36" s="11" customFormat="1" x14ac:dyDescent="0.25">
      <c r="A83" s="85" t="s">
        <v>257</v>
      </c>
      <c r="B83" s="85" t="s">
        <v>55</v>
      </c>
      <c r="C83" s="85" t="s">
        <v>59</v>
      </c>
      <c r="D83" s="111"/>
      <c r="E83" s="111"/>
      <c r="F83" s="85">
        <v>800</v>
      </c>
      <c r="G83" s="85"/>
      <c r="H83" s="85">
        <v>2.8</v>
      </c>
      <c r="I83" s="85">
        <v>17</v>
      </c>
      <c r="J83" s="187">
        <v>6.8</v>
      </c>
      <c r="K83" s="85">
        <v>14.7</v>
      </c>
      <c r="L83" s="85">
        <v>24</v>
      </c>
      <c r="M83" s="85">
        <v>103</v>
      </c>
      <c r="N83" s="187">
        <v>41.2</v>
      </c>
      <c r="O83" s="85">
        <v>112.3</v>
      </c>
      <c r="P83" s="85">
        <f t="shared" si="27"/>
        <v>120</v>
      </c>
      <c r="Q83" s="50">
        <f t="shared" si="20"/>
        <v>0</v>
      </c>
      <c r="R83" s="70">
        <f t="shared" si="19"/>
        <v>0</v>
      </c>
      <c r="S83" s="70">
        <f t="shared" si="21"/>
        <v>0</v>
      </c>
      <c r="T83" s="70">
        <f t="shared" si="22"/>
        <v>0</v>
      </c>
      <c r="U83" s="70">
        <f t="shared" si="23"/>
        <v>0</v>
      </c>
      <c r="V83" s="70">
        <f t="shared" si="24"/>
        <v>0</v>
      </c>
      <c r="W83" s="345">
        <f t="shared" si="28"/>
        <v>0</v>
      </c>
      <c r="X83" s="345">
        <f t="shared" si="29"/>
        <v>0</v>
      </c>
      <c r="Y83" s="85"/>
      <c r="Z83" s="85">
        <v>1</v>
      </c>
      <c r="AA83" s="85">
        <v>1</v>
      </c>
      <c r="AB83" s="86">
        <f t="shared" si="25"/>
        <v>0</v>
      </c>
      <c r="AC83" s="86">
        <f t="shared" si="26"/>
        <v>0</v>
      </c>
      <c r="AD83" s="77"/>
      <c r="AE83" s="76"/>
      <c r="AF83" s="76"/>
      <c r="AG83" s="76"/>
      <c r="AH83" s="76"/>
      <c r="AI83" s="76"/>
      <c r="AJ83" s="76"/>
    </row>
    <row r="84" spans="1:36" s="11" customFormat="1" ht="21" x14ac:dyDescent="0.25">
      <c r="A84" s="85" t="s">
        <v>257</v>
      </c>
      <c r="B84" s="85" t="s">
        <v>55</v>
      </c>
      <c r="C84" s="85" t="s">
        <v>128</v>
      </c>
      <c r="D84" s="111"/>
      <c r="E84" s="111"/>
      <c r="F84" s="85">
        <v>800</v>
      </c>
      <c r="G84" s="85"/>
      <c r="H84" s="85"/>
      <c r="I84" s="85"/>
      <c r="J84" s="187"/>
      <c r="K84" s="85"/>
      <c r="L84" s="85">
        <v>26.8</v>
      </c>
      <c r="M84" s="85">
        <v>120</v>
      </c>
      <c r="N84" s="187">
        <v>48</v>
      </c>
      <c r="O84" s="85">
        <v>127</v>
      </c>
      <c r="P84" s="85">
        <f t="shared" si="27"/>
        <v>120</v>
      </c>
      <c r="Q84" s="50">
        <f t="shared" si="20"/>
        <v>0</v>
      </c>
      <c r="R84" s="70">
        <f t="shared" si="19"/>
        <v>0</v>
      </c>
      <c r="S84" s="70">
        <f t="shared" si="21"/>
        <v>0</v>
      </c>
      <c r="T84" s="70">
        <f t="shared" si="22"/>
        <v>0</v>
      </c>
      <c r="U84" s="70">
        <f t="shared" si="23"/>
        <v>0</v>
      </c>
      <c r="V84" s="70">
        <f t="shared" si="24"/>
        <v>0</v>
      </c>
      <c r="W84" s="345">
        <f t="shared" si="28"/>
        <v>0</v>
      </c>
      <c r="X84" s="345">
        <f t="shared" si="29"/>
        <v>0</v>
      </c>
      <c r="Y84" s="85"/>
      <c r="Z84" s="85">
        <v>1</v>
      </c>
      <c r="AA84" s="85">
        <v>1</v>
      </c>
      <c r="AB84" s="86">
        <f t="shared" si="25"/>
        <v>0</v>
      </c>
      <c r="AC84" s="86">
        <f t="shared" si="26"/>
        <v>0</v>
      </c>
      <c r="AD84" s="77"/>
      <c r="AE84" s="76"/>
      <c r="AF84" s="76"/>
      <c r="AG84" s="76"/>
      <c r="AH84" s="76"/>
      <c r="AI84" s="76"/>
      <c r="AJ84" s="76"/>
    </row>
    <row r="85" spans="1:36" s="11" customFormat="1" ht="21" x14ac:dyDescent="0.25">
      <c r="A85" s="85" t="s">
        <v>257</v>
      </c>
      <c r="B85" s="85" t="s">
        <v>55</v>
      </c>
      <c r="C85" s="85" t="s">
        <v>46</v>
      </c>
      <c r="D85" s="111"/>
      <c r="E85" s="111"/>
      <c r="F85" s="85">
        <v>800</v>
      </c>
      <c r="G85" s="85"/>
      <c r="H85" s="85">
        <v>16</v>
      </c>
      <c r="I85" s="85">
        <v>61</v>
      </c>
      <c r="J85" s="187">
        <v>24.4</v>
      </c>
      <c r="K85" s="85">
        <v>68</v>
      </c>
      <c r="L85" s="85">
        <v>13.9</v>
      </c>
      <c r="M85" s="85">
        <v>59</v>
      </c>
      <c r="N85" s="187">
        <v>23.6</v>
      </c>
      <c r="O85" s="85">
        <v>59</v>
      </c>
      <c r="P85" s="85">
        <f t="shared" si="27"/>
        <v>120</v>
      </c>
      <c r="Q85" s="50">
        <f t="shared" si="20"/>
        <v>0</v>
      </c>
      <c r="R85" s="70">
        <f t="shared" si="19"/>
        <v>0</v>
      </c>
      <c r="S85" s="70">
        <f t="shared" si="21"/>
        <v>0</v>
      </c>
      <c r="T85" s="70">
        <f t="shared" si="22"/>
        <v>0</v>
      </c>
      <c r="U85" s="70">
        <f t="shared" si="23"/>
        <v>0</v>
      </c>
      <c r="V85" s="70">
        <f t="shared" si="24"/>
        <v>0</v>
      </c>
      <c r="W85" s="345">
        <f t="shared" si="28"/>
        <v>0</v>
      </c>
      <c r="X85" s="345">
        <f t="shared" si="29"/>
        <v>0</v>
      </c>
      <c r="Y85" s="85"/>
      <c r="Z85" s="85">
        <v>1</v>
      </c>
      <c r="AA85" s="85">
        <v>1</v>
      </c>
      <c r="AB85" s="86">
        <f t="shared" si="25"/>
        <v>0</v>
      </c>
      <c r="AC85" s="86">
        <f t="shared" si="26"/>
        <v>0</v>
      </c>
      <c r="AD85" s="77"/>
      <c r="AE85" s="76"/>
      <c r="AF85" s="76"/>
      <c r="AG85" s="76"/>
      <c r="AH85" s="76"/>
      <c r="AI85" s="76"/>
      <c r="AJ85" s="76"/>
    </row>
    <row r="86" spans="1:36" s="11" customFormat="1" ht="21" x14ac:dyDescent="0.25">
      <c r="A86" s="85" t="s">
        <v>257</v>
      </c>
      <c r="B86" s="85" t="s">
        <v>55</v>
      </c>
      <c r="C86" s="85" t="s">
        <v>47</v>
      </c>
      <c r="D86" s="111"/>
      <c r="E86" s="111"/>
      <c r="F86" s="85">
        <v>800</v>
      </c>
      <c r="G86" s="85"/>
      <c r="H86" s="85">
        <v>9</v>
      </c>
      <c r="I86" s="85">
        <v>59</v>
      </c>
      <c r="J86" s="187">
        <v>23.6</v>
      </c>
      <c r="K86" s="85">
        <v>37.5</v>
      </c>
      <c r="L86" s="85">
        <v>21.5</v>
      </c>
      <c r="M86" s="85">
        <v>61</v>
      </c>
      <c r="N86" s="187">
        <v>24.4</v>
      </c>
      <c r="O86" s="85">
        <v>89.5</v>
      </c>
      <c r="P86" s="85">
        <f t="shared" si="27"/>
        <v>120</v>
      </c>
      <c r="Q86" s="50">
        <f t="shared" si="20"/>
        <v>0</v>
      </c>
      <c r="R86" s="70">
        <f t="shared" si="19"/>
        <v>0</v>
      </c>
      <c r="S86" s="70">
        <f t="shared" si="21"/>
        <v>0</v>
      </c>
      <c r="T86" s="70">
        <f t="shared" si="22"/>
        <v>0</v>
      </c>
      <c r="U86" s="70">
        <f t="shared" si="23"/>
        <v>0</v>
      </c>
      <c r="V86" s="70">
        <f t="shared" si="24"/>
        <v>0</v>
      </c>
      <c r="W86" s="345">
        <f t="shared" si="28"/>
        <v>0</v>
      </c>
      <c r="X86" s="345">
        <f t="shared" si="29"/>
        <v>0</v>
      </c>
      <c r="Y86" s="85"/>
      <c r="Z86" s="85">
        <v>1</v>
      </c>
      <c r="AA86" s="85">
        <v>1</v>
      </c>
      <c r="AB86" s="86">
        <f t="shared" si="25"/>
        <v>0</v>
      </c>
      <c r="AC86" s="86">
        <f t="shared" si="26"/>
        <v>0</v>
      </c>
      <c r="AD86" s="77"/>
      <c r="AE86" s="76"/>
      <c r="AF86" s="76"/>
      <c r="AG86" s="76"/>
      <c r="AH86" s="76"/>
      <c r="AI86" s="76"/>
      <c r="AJ86" s="76"/>
    </row>
    <row r="87" spans="1:36" s="11" customFormat="1" ht="21" x14ac:dyDescent="0.25">
      <c r="A87" s="85" t="s">
        <v>257</v>
      </c>
      <c r="B87" s="85" t="s">
        <v>55</v>
      </c>
      <c r="C87" s="85" t="s">
        <v>45</v>
      </c>
      <c r="D87" s="111"/>
      <c r="E87" s="111"/>
      <c r="F87" s="85">
        <v>800</v>
      </c>
      <c r="G87" s="85"/>
      <c r="H87" s="85">
        <v>26</v>
      </c>
      <c r="I87" s="85">
        <v>120</v>
      </c>
      <c r="J87" s="187">
        <v>48</v>
      </c>
      <c r="K87" s="85">
        <v>127</v>
      </c>
      <c r="L87" s="85"/>
      <c r="M87" s="85"/>
      <c r="N87" s="187"/>
      <c r="O87" s="85"/>
      <c r="P87" s="85">
        <f t="shared" si="27"/>
        <v>120</v>
      </c>
      <c r="Q87" s="50">
        <f t="shared" si="20"/>
        <v>0</v>
      </c>
      <c r="R87" s="70">
        <f t="shared" si="19"/>
        <v>0</v>
      </c>
      <c r="S87" s="70">
        <f t="shared" si="21"/>
        <v>0</v>
      </c>
      <c r="T87" s="70">
        <f t="shared" si="22"/>
        <v>0</v>
      </c>
      <c r="U87" s="70">
        <f t="shared" si="23"/>
        <v>0</v>
      </c>
      <c r="V87" s="70">
        <f t="shared" si="24"/>
        <v>0</v>
      </c>
      <c r="W87" s="345">
        <f t="shared" si="28"/>
        <v>0</v>
      </c>
      <c r="X87" s="345">
        <f t="shared" si="29"/>
        <v>0</v>
      </c>
      <c r="Y87" s="85"/>
      <c r="Z87" s="85">
        <v>1</v>
      </c>
      <c r="AA87" s="85">
        <v>1</v>
      </c>
      <c r="AB87" s="86">
        <f t="shared" si="25"/>
        <v>0</v>
      </c>
      <c r="AC87" s="86">
        <f t="shared" si="26"/>
        <v>0</v>
      </c>
      <c r="AD87" s="77"/>
      <c r="AE87" s="76"/>
      <c r="AF87" s="76"/>
      <c r="AG87" s="76"/>
      <c r="AH87" s="76"/>
      <c r="AI87" s="76"/>
      <c r="AJ87" s="76"/>
    </row>
    <row r="88" spans="1:36" s="11" customFormat="1" x14ac:dyDescent="0.25">
      <c r="A88" s="85" t="s">
        <v>257</v>
      </c>
      <c r="B88" s="85" t="s">
        <v>55</v>
      </c>
      <c r="C88" s="85" t="s">
        <v>57</v>
      </c>
      <c r="D88" s="111"/>
      <c r="E88" s="111"/>
      <c r="F88" s="85">
        <v>800</v>
      </c>
      <c r="G88" s="85"/>
      <c r="H88" s="85">
        <v>26</v>
      </c>
      <c r="I88" s="85">
        <v>120</v>
      </c>
      <c r="J88" s="187">
        <v>48</v>
      </c>
      <c r="K88" s="85">
        <v>127</v>
      </c>
      <c r="L88" s="85"/>
      <c r="M88" s="85"/>
      <c r="N88" s="187"/>
      <c r="O88" s="85"/>
      <c r="P88" s="85">
        <f t="shared" si="27"/>
        <v>120</v>
      </c>
      <c r="Q88" s="50">
        <f t="shared" si="20"/>
        <v>0</v>
      </c>
      <c r="R88" s="70">
        <f t="shared" si="19"/>
        <v>0</v>
      </c>
      <c r="S88" s="70">
        <f t="shared" si="21"/>
        <v>0</v>
      </c>
      <c r="T88" s="70">
        <f t="shared" si="22"/>
        <v>0</v>
      </c>
      <c r="U88" s="70">
        <f t="shared" si="23"/>
        <v>0</v>
      </c>
      <c r="V88" s="70">
        <f t="shared" si="24"/>
        <v>0</v>
      </c>
      <c r="W88" s="345">
        <f t="shared" si="28"/>
        <v>0</v>
      </c>
      <c r="X88" s="345">
        <f t="shared" si="29"/>
        <v>0</v>
      </c>
      <c r="Y88" s="85"/>
      <c r="Z88" s="85">
        <v>1</v>
      </c>
      <c r="AA88" s="85">
        <v>1</v>
      </c>
      <c r="AB88" s="86">
        <f t="shared" si="25"/>
        <v>0</v>
      </c>
      <c r="AC88" s="86">
        <f t="shared" si="26"/>
        <v>0</v>
      </c>
      <c r="AD88" s="77"/>
      <c r="AE88" s="76"/>
      <c r="AF88" s="76"/>
      <c r="AG88" s="76"/>
      <c r="AH88" s="76"/>
      <c r="AI88" s="76"/>
      <c r="AJ88" s="76"/>
    </row>
    <row r="89" spans="1:36" s="11" customFormat="1" ht="21" x14ac:dyDescent="0.25">
      <c r="A89" s="85" t="s">
        <v>257</v>
      </c>
      <c r="B89" s="85" t="s">
        <v>55</v>
      </c>
      <c r="C89" s="85" t="s">
        <v>49</v>
      </c>
      <c r="D89" s="111"/>
      <c r="E89" s="111"/>
      <c r="F89" s="85">
        <v>800</v>
      </c>
      <c r="G89" s="85"/>
      <c r="H89" s="85">
        <v>2.8</v>
      </c>
      <c r="I89" s="85">
        <v>17</v>
      </c>
      <c r="J89" s="187">
        <v>6.8</v>
      </c>
      <c r="K89" s="85">
        <v>11.9</v>
      </c>
      <c r="L89" s="85">
        <v>24</v>
      </c>
      <c r="M89" s="85">
        <v>103</v>
      </c>
      <c r="N89" s="187">
        <v>41.2</v>
      </c>
      <c r="O89" s="85">
        <v>115.1</v>
      </c>
      <c r="P89" s="85">
        <f t="shared" si="27"/>
        <v>120</v>
      </c>
      <c r="Q89" s="50">
        <f t="shared" si="20"/>
        <v>0</v>
      </c>
      <c r="R89" s="70">
        <f t="shared" si="19"/>
        <v>0</v>
      </c>
      <c r="S89" s="70">
        <f t="shared" si="21"/>
        <v>0</v>
      </c>
      <c r="T89" s="70">
        <f t="shared" si="22"/>
        <v>0</v>
      </c>
      <c r="U89" s="70">
        <f t="shared" si="23"/>
        <v>0</v>
      </c>
      <c r="V89" s="70">
        <f t="shared" si="24"/>
        <v>0</v>
      </c>
      <c r="W89" s="345">
        <f t="shared" si="28"/>
        <v>0</v>
      </c>
      <c r="X89" s="345">
        <f t="shared" si="29"/>
        <v>0</v>
      </c>
      <c r="Y89" s="85"/>
      <c r="Z89" s="85">
        <v>1</v>
      </c>
      <c r="AA89" s="85">
        <v>1</v>
      </c>
      <c r="AB89" s="86">
        <f t="shared" si="25"/>
        <v>0</v>
      </c>
      <c r="AC89" s="86">
        <f t="shared" si="26"/>
        <v>0</v>
      </c>
      <c r="AD89" s="77"/>
      <c r="AE89" s="76"/>
      <c r="AF89" s="76"/>
      <c r="AG89" s="76"/>
      <c r="AH89" s="76"/>
      <c r="AI89" s="76"/>
      <c r="AJ89" s="76"/>
    </row>
    <row r="90" spans="1:36" s="11" customFormat="1" ht="21" x14ac:dyDescent="0.25">
      <c r="A90" s="85" t="s">
        <v>257</v>
      </c>
      <c r="B90" s="85" t="s">
        <v>55</v>
      </c>
      <c r="C90" s="85" t="s">
        <v>126</v>
      </c>
      <c r="D90" s="111"/>
      <c r="E90" s="111"/>
      <c r="F90" s="85">
        <v>800</v>
      </c>
      <c r="G90" s="85"/>
      <c r="H90" s="85"/>
      <c r="I90" s="85"/>
      <c r="J90" s="187"/>
      <c r="K90" s="85"/>
      <c r="L90" s="85">
        <v>26.8</v>
      </c>
      <c r="M90" s="85">
        <v>120</v>
      </c>
      <c r="N90" s="187">
        <v>48</v>
      </c>
      <c r="O90" s="85">
        <v>127</v>
      </c>
      <c r="P90" s="85">
        <f t="shared" si="27"/>
        <v>120</v>
      </c>
      <c r="Q90" s="50">
        <f t="shared" si="20"/>
        <v>0</v>
      </c>
      <c r="R90" s="70">
        <f t="shared" si="19"/>
        <v>0</v>
      </c>
      <c r="S90" s="70">
        <f t="shared" si="21"/>
        <v>0</v>
      </c>
      <c r="T90" s="70">
        <f t="shared" si="22"/>
        <v>0</v>
      </c>
      <c r="U90" s="70">
        <f t="shared" si="23"/>
        <v>0</v>
      </c>
      <c r="V90" s="70">
        <f t="shared" si="24"/>
        <v>0</v>
      </c>
      <c r="W90" s="345">
        <f t="shared" si="28"/>
        <v>0</v>
      </c>
      <c r="X90" s="345">
        <f t="shared" si="29"/>
        <v>0</v>
      </c>
      <c r="Y90" s="85"/>
      <c r="Z90" s="85">
        <v>1</v>
      </c>
      <c r="AA90" s="85">
        <v>1</v>
      </c>
      <c r="AB90" s="86">
        <f t="shared" si="25"/>
        <v>0</v>
      </c>
      <c r="AC90" s="86">
        <f t="shared" si="26"/>
        <v>0</v>
      </c>
      <c r="AD90" s="77"/>
      <c r="AE90" s="76"/>
      <c r="AF90" s="76"/>
      <c r="AG90" s="76"/>
      <c r="AH90" s="76"/>
      <c r="AI90" s="76"/>
      <c r="AJ90" s="76"/>
    </row>
    <row r="91" spans="1:36" s="11" customFormat="1" ht="21" x14ac:dyDescent="0.25">
      <c r="A91" s="85" t="s">
        <v>257</v>
      </c>
      <c r="B91" s="85" t="s">
        <v>55</v>
      </c>
      <c r="C91" s="85" t="s">
        <v>58</v>
      </c>
      <c r="D91" s="111"/>
      <c r="E91" s="111"/>
      <c r="F91" s="85">
        <v>800</v>
      </c>
      <c r="G91" s="85"/>
      <c r="H91" s="85">
        <v>13</v>
      </c>
      <c r="I91" s="85">
        <v>61</v>
      </c>
      <c r="J91" s="187">
        <v>24.4</v>
      </c>
      <c r="K91" s="85">
        <v>40.9</v>
      </c>
      <c r="L91" s="85">
        <v>27.4</v>
      </c>
      <c r="M91" s="85">
        <v>59</v>
      </c>
      <c r="N91" s="187">
        <v>23.6</v>
      </c>
      <c r="O91" s="85">
        <v>86.1</v>
      </c>
      <c r="P91" s="85">
        <f t="shared" si="27"/>
        <v>120</v>
      </c>
      <c r="Q91" s="50">
        <f t="shared" si="20"/>
        <v>0</v>
      </c>
      <c r="R91" s="70">
        <f t="shared" si="19"/>
        <v>0</v>
      </c>
      <c r="S91" s="70">
        <f t="shared" si="21"/>
        <v>0</v>
      </c>
      <c r="T91" s="70">
        <f t="shared" si="22"/>
        <v>0</v>
      </c>
      <c r="U91" s="70">
        <f t="shared" si="23"/>
        <v>0</v>
      </c>
      <c r="V91" s="70">
        <f t="shared" si="24"/>
        <v>0</v>
      </c>
      <c r="W91" s="345">
        <f t="shared" si="28"/>
        <v>0</v>
      </c>
      <c r="X91" s="345">
        <f t="shared" si="29"/>
        <v>0</v>
      </c>
      <c r="Y91" s="85"/>
      <c r="Z91" s="85">
        <v>1</v>
      </c>
      <c r="AA91" s="85">
        <v>1</v>
      </c>
      <c r="AB91" s="86">
        <f t="shared" si="25"/>
        <v>0</v>
      </c>
      <c r="AC91" s="86">
        <f t="shared" si="26"/>
        <v>0</v>
      </c>
      <c r="AD91" s="77"/>
      <c r="AE91" s="76"/>
      <c r="AF91" s="76"/>
      <c r="AG91" s="76"/>
      <c r="AH91" s="76"/>
      <c r="AI91" s="76"/>
      <c r="AJ91" s="76"/>
    </row>
    <row r="92" spans="1:36" s="69" customFormat="1" ht="11.25" x14ac:dyDescent="0.2">
      <c r="A92" s="74" t="s">
        <v>264</v>
      </c>
      <c r="B92" s="88"/>
      <c r="C92" s="88"/>
      <c r="D92" s="74">
        <f>SUM(D8:D91)-D66-D67-D68-D69</f>
        <v>0</v>
      </c>
      <c r="E92" s="92"/>
      <c r="F92" s="88"/>
      <c r="G92" s="88"/>
      <c r="H92" s="80"/>
      <c r="I92" s="185"/>
      <c r="J92" s="185"/>
      <c r="K92" s="185"/>
      <c r="L92" s="88"/>
      <c r="M92" s="88"/>
      <c r="N92" s="88"/>
      <c r="O92" s="88"/>
      <c r="Q92" s="138">
        <f>SUM(Q8:Q91)</f>
        <v>0</v>
      </c>
      <c r="R92" s="138">
        <f>SUM(R8:R91)</f>
        <v>0</v>
      </c>
      <c r="S92" s="138">
        <f>SUM(S8:S91)</f>
        <v>0</v>
      </c>
      <c r="T92" s="138">
        <f>SUM(T8:T91)</f>
        <v>0</v>
      </c>
      <c r="U92" s="139">
        <f>SUM(U8:U91)</f>
        <v>0</v>
      </c>
      <c r="V92" s="186">
        <f t="shared" ref="V92:AC92" si="30">SUM(V8:V91)-V66-V67-V68-V69</f>
        <v>0</v>
      </c>
      <c r="W92" s="186">
        <f t="shared" si="30"/>
        <v>0</v>
      </c>
      <c r="X92" s="186">
        <f t="shared" si="30"/>
        <v>0</v>
      </c>
      <c r="Y92" s="186">
        <f t="shared" si="30"/>
        <v>0</v>
      </c>
      <c r="Z92" s="186">
        <f t="shared" si="30"/>
        <v>65</v>
      </c>
      <c r="AA92" s="186">
        <f t="shared" si="30"/>
        <v>63.800000000000011</v>
      </c>
      <c r="AB92" s="186">
        <f t="shared" si="30"/>
        <v>0</v>
      </c>
      <c r="AC92" s="186">
        <f t="shared" si="30"/>
        <v>0</v>
      </c>
    </row>
    <row r="93" spans="1:36" s="11" customFormat="1" x14ac:dyDescent="0.25">
      <c r="A93" s="75"/>
      <c r="B93" s="75"/>
      <c r="C93" s="75"/>
      <c r="D93" s="183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459"/>
      <c r="X93" s="459"/>
      <c r="Y93" s="75"/>
      <c r="Z93" s="75"/>
      <c r="AA93" s="75"/>
      <c r="AB93" s="76"/>
      <c r="AC93" s="76"/>
      <c r="AD93" s="76"/>
      <c r="AE93" s="76"/>
      <c r="AF93" s="76"/>
      <c r="AG93" s="76"/>
      <c r="AH93" s="76"/>
      <c r="AI93" s="76"/>
      <c r="AJ93" s="76"/>
    </row>
    <row r="94" spans="1:36" s="11" customFormat="1" x14ac:dyDescent="0.25">
      <c r="A94" s="16" t="s">
        <v>277</v>
      </c>
      <c r="B94" s="115">
        <f>R66+R67+R68+R69</f>
        <v>0</v>
      </c>
      <c r="C94" s="75"/>
      <c r="D94" s="183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459"/>
      <c r="X94" s="459"/>
      <c r="Y94" s="75"/>
      <c r="Z94" s="75"/>
      <c r="AA94" s="75"/>
      <c r="AB94" s="76"/>
      <c r="AC94" s="76"/>
      <c r="AD94" s="76"/>
      <c r="AE94" s="76"/>
      <c r="AF94" s="76"/>
      <c r="AG94" s="76"/>
      <c r="AH94" s="76"/>
      <c r="AI94" s="76"/>
      <c r="AJ94" s="76"/>
    </row>
    <row r="95" spans="1:36" s="11" customFormat="1" x14ac:dyDescent="0.25">
      <c r="A95" s="75"/>
      <c r="B95" s="75"/>
      <c r="C95" s="75"/>
      <c r="D95" s="183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459"/>
      <c r="X95" s="459"/>
      <c r="Y95" s="75"/>
      <c r="Z95" s="75"/>
      <c r="AA95" s="75"/>
      <c r="AB95" s="76"/>
      <c r="AC95" s="76"/>
      <c r="AD95" s="76"/>
      <c r="AE95" s="76"/>
      <c r="AF95" s="76"/>
      <c r="AG95" s="76"/>
      <c r="AH95" s="76"/>
      <c r="AI95" s="76"/>
      <c r="AJ95" s="76"/>
    </row>
    <row r="96" spans="1:36" s="11" customFormat="1" x14ac:dyDescent="0.25">
      <c r="A96" s="75"/>
      <c r="B96" s="75"/>
      <c r="C96" s="75"/>
      <c r="D96" s="183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459"/>
      <c r="X96" s="459"/>
      <c r="Y96" s="75"/>
      <c r="Z96" s="75"/>
      <c r="AA96" s="75"/>
      <c r="AB96" s="76"/>
      <c r="AC96" s="76"/>
      <c r="AD96" s="76"/>
      <c r="AE96" s="76"/>
      <c r="AF96" s="76"/>
      <c r="AG96" s="76"/>
      <c r="AH96" s="76"/>
      <c r="AI96" s="76"/>
      <c r="AJ96" s="76"/>
    </row>
    <row r="97" spans="1:36" s="11" customFormat="1" x14ac:dyDescent="0.25">
      <c r="A97" s="75"/>
      <c r="B97" s="75"/>
      <c r="C97" s="75"/>
      <c r="D97" s="183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459"/>
      <c r="X97" s="459"/>
      <c r="Y97" s="75"/>
      <c r="Z97" s="75"/>
      <c r="AA97" s="75"/>
      <c r="AB97" s="76"/>
      <c r="AC97" s="76"/>
      <c r="AD97" s="76"/>
      <c r="AE97" s="76"/>
      <c r="AF97" s="76"/>
      <c r="AG97" s="76"/>
      <c r="AH97" s="76"/>
      <c r="AI97" s="76"/>
      <c r="AJ97" s="76"/>
    </row>
    <row r="98" spans="1:36" s="11" customFormat="1" x14ac:dyDescent="0.25">
      <c r="A98" s="75"/>
      <c r="B98" s="75"/>
      <c r="C98" s="75"/>
      <c r="D98" s="183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459"/>
      <c r="X98" s="459"/>
      <c r="Y98" s="75"/>
      <c r="Z98" s="75"/>
      <c r="AA98" s="75"/>
      <c r="AB98" s="76"/>
      <c r="AC98" s="76"/>
      <c r="AD98" s="76"/>
      <c r="AE98" s="76"/>
      <c r="AF98" s="76"/>
      <c r="AG98" s="76"/>
      <c r="AH98" s="76"/>
      <c r="AI98" s="76"/>
      <c r="AJ98" s="76"/>
    </row>
    <row r="99" spans="1:36" s="11" customFormat="1" x14ac:dyDescent="0.25">
      <c r="A99" s="75"/>
      <c r="B99" s="75"/>
      <c r="C99" s="75"/>
      <c r="D99" s="183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459"/>
      <c r="X99" s="459"/>
      <c r="Y99" s="75"/>
      <c r="Z99" s="75"/>
      <c r="AA99" s="75"/>
      <c r="AB99" s="76"/>
      <c r="AC99" s="76"/>
      <c r="AD99" s="76"/>
      <c r="AE99" s="76"/>
      <c r="AF99" s="76"/>
      <c r="AG99" s="76"/>
      <c r="AH99" s="76"/>
      <c r="AI99" s="76"/>
      <c r="AJ99" s="76"/>
    </row>
    <row r="100" spans="1:36" s="11" customFormat="1" x14ac:dyDescent="0.25">
      <c r="A100" s="75"/>
      <c r="B100" s="75"/>
      <c r="C100" s="75"/>
      <c r="D100" s="183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459"/>
      <c r="X100" s="459"/>
      <c r="Y100" s="75"/>
      <c r="Z100" s="75"/>
      <c r="AA100" s="75"/>
      <c r="AB100" s="76"/>
      <c r="AC100" s="76"/>
      <c r="AD100" s="76"/>
      <c r="AE100" s="76"/>
      <c r="AF100" s="76"/>
      <c r="AG100" s="76"/>
      <c r="AH100" s="76"/>
      <c r="AI100" s="76"/>
      <c r="AJ100" s="76"/>
    </row>
    <row r="101" spans="1:36" s="11" customFormat="1" x14ac:dyDescent="0.25">
      <c r="A101" s="75"/>
      <c r="B101" s="75"/>
      <c r="C101" s="75"/>
      <c r="D101" s="183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459"/>
      <c r="X101" s="459"/>
      <c r="Y101" s="75"/>
      <c r="Z101" s="75"/>
      <c r="AA101" s="75"/>
      <c r="AB101" s="76"/>
      <c r="AC101" s="76"/>
      <c r="AD101" s="76"/>
      <c r="AE101" s="76"/>
      <c r="AF101" s="76"/>
      <c r="AG101" s="76"/>
      <c r="AH101" s="76"/>
      <c r="AI101" s="76"/>
      <c r="AJ101" s="76"/>
    </row>
    <row r="102" spans="1:36" s="11" customFormat="1" x14ac:dyDescent="0.25">
      <c r="A102" s="75"/>
      <c r="B102" s="75"/>
      <c r="C102" s="75"/>
      <c r="D102" s="183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459"/>
      <c r="X102" s="459"/>
      <c r="Y102" s="75"/>
      <c r="Z102" s="75"/>
      <c r="AA102" s="75"/>
      <c r="AB102" s="76"/>
      <c r="AC102" s="76"/>
      <c r="AD102" s="76"/>
      <c r="AE102" s="76"/>
      <c r="AF102" s="76"/>
      <c r="AG102" s="76"/>
      <c r="AH102" s="76"/>
      <c r="AI102" s="76"/>
      <c r="AJ102" s="76"/>
    </row>
    <row r="103" spans="1:36" s="11" customFormat="1" x14ac:dyDescent="0.25">
      <c r="A103" s="75"/>
      <c r="B103" s="75"/>
      <c r="C103" s="75"/>
      <c r="D103" s="183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459"/>
      <c r="X103" s="459"/>
      <c r="Y103" s="75"/>
      <c r="Z103" s="75"/>
      <c r="AA103" s="75"/>
      <c r="AB103" s="76"/>
      <c r="AC103" s="76"/>
      <c r="AD103" s="76"/>
      <c r="AE103" s="76"/>
      <c r="AF103" s="76"/>
      <c r="AG103" s="76"/>
      <c r="AH103" s="76"/>
      <c r="AI103" s="76"/>
      <c r="AJ103" s="76"/>
    </row>
    <row r="104" spans="1:36" s="11" customFormat="1" x14ac:dyDescent="0.25">
      <c r="A104" s="75"/>
      <c r="B104" s="75"/>
      <c r="C104" s="75"/>
      <c r="D104" s="183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459"/>
      <c r="X104" s="459"/>
      <c r="Y104" s="75"/>
      <c r="Z104" s="75"/>
      <c r="AA104" s="75"/>
      <c r="AB104" s="76"/>
      <c r="AC104" s="76"/>
      <c r="AD104" s="76"/>
      <c r="AE104" s="76"/>
      <c r="AF104" s="76"/>
      <c r="AG104" s="76"/>
      <c r="AH104" s="76"/>
      <c r="AI104" s="76"/>
      <c r="AJ104" s="76"/>
    </row>
    <row r="105" spans="1:36" s="11" customFormat="1" x14ac:dyDescent="0.25">
      <c r="A105" s="75"/>
      <c r="B105" s="75"/>
      <c r="C105" s="75"/>
      <c r="D105" s="183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459"/>
      <c r="X105" s="459"/>
      <c r="Y105" s="75"/>
      <c r="Z105" s="75"/>
      <c r="AA105" s="75"/>
      <c r="AB105" s="76"/>
      <c r="AC105" s="76"/>
      <c r="AD105" s="76"/>
      <c r="AE105" s="76"/>
      <c r="AF105" s="76"/>
      <c r="AG105" s="76"/>
      <c r="AH105" s="76"/>
      <c r="AI105" s="76"/>
      <c r="AJ105" s="76"/>
    </row>
    <row r="106" spans="1:36" s="11" customFormat="1" x14ac:dyDescent="0.25">
      <c r="A106" s="75"/>
      <c r="B106" s="75"/>
      <c r="C106" s="75"/>
      <c r="D106" s="183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459"/>
      <c r="X106" s="459"/>
      <c r="Y106" s="75"/>
      <c r="Z106" s="75"/>
      <c r="AA106" s="75"/>
      <c r="AB106" s="76"/>
      <c r="AC106" s="76"/>
      <c r="AD106" s="76"/>
      <c r="AE106" s="76"/>
      <c r="AF106" s="76"/>
      <c r="AG106" s="76"/>
      <c r="AH106" s="76"/>
      <c r="AI106" s="76"/>
      <c r="AJ106" s="76"/>
    </row>
    <row r="107" spans="1:36" s="11" customFormat="1" x14ac:dyDescent="0.25">
      <c r="A107" s="75"/>
      <c r="B107" s="75"/>
      <c r="C107" s="75"/>
      <c r="D107" s="183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459"/>
      <c r="X107" s="459"/>
      <c r="Y107" s="75"/>
      <c r="Z107" s="75"/>
      <c r="AA107" s="75"/>
      <c r="AB107" s="76"/>
      <c r="AC107" s="76"/>
      <c r="AD107" s="76"/>
      <c r="AE107" s="76"/>
      <c r="AF107" s="76"/>
      <c r="AG107" s="76"/>
      <c r="AH107" s="76"/>
      <c r="AI107" s="76"/>
      <c r="AJ107" s="76"/>
    </row>
    <row r="108" spans="1:36" s="11" customFormat="1" x14ac:dyDescent="0.25">
      <c r="A108" s="75"/>
      <c r="B108" s="75"/>
      <c r="C108" s="75"/>
      <c r="D108" s="183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459"/>
      <c r="X108" s="459"/>
      <c r="Y108" s="75"/>
      <c r="Z108" s="75"/>
      <c r="AA108" s="75"/>
      <c r="AB108" s="76"/>
      <c r="AC108" s="76"/>
      <c r="AD108" s="76"/>
      <c r="AE108" s="76"/>
      <c r="AF108" s="76"/>
      <c r="AG108" s="76"/>
      <c r="AH108" s="76"/>
      <c r="AI108" s="76"/>
      <c r="AJ108" s="76"/>
    </row>
    <row r="109" spans="1:36" s="11" customFormat="1" x14ac:dyDescent="0.25">
      <c r="A109" s="75"/>
      <c r="B109" s="75"/>
      <c r="C109" s="75"/>
      <c r="D109" s="183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459"/>
      <c r="X109" s="459"/>
      <c r="Y109" s="75"/>
      <c r="Z109" s="75"/>
      <c r="AA109" s="75"/>
      <c r="AB109" s="76"/>
      <c r="AC109" s="76"/>
      <c r="AD109" s="76"/>
      <c r="AE109" s="76"/>
      <c r="AF109" s="76"/>
      <c r="AG109" s="76"/>
      <c r="AH109" s="76"/>
      <c r="AI109" s="76"/>
      <c r="AJ109" s="76"/>
    </row>
    <row r="110" spans="1:36" s="11" customFormat="1" x14ac:dyDescent="0.25">
      <c r="A110" s="75"/>
      <c r="B110" s="75"/>
      <c r="C110" s="75"/>
      <c r="D110" s="183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459"/>
      <c r="X110" s="459"/>
      <c r="Y110" s="75"/>
      <c r="Z110" s="75"/>
      <c r="AA110" s="75"/>
      <c r="AB110" s="76"/>
      <c r="AC110" s="76"/>
      <c r="AD110" s="76"/>
      <c r="AE110" s="76"/>
      <c r="AF110" s="76"/>
      <c r="AG110" s="76"/>
      <c r="AH110" s="76"/>
      <c r="AI110" s="76"/>
      <c r="AJ110" s="76"/>
    </row>
    <row r="111" spans="1:36" s="11" customFormat="1" x14ac:dyDescent="0.25">
      <c r="A111" s="75"/>
      <c r="B111" s="75"/>
      <c r="C111" s="75"/>
      <c r="D111" s="183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459"/>
      <c r="X111" s="459"/>
      <c r="Y111" s="75"/>
      <c r="Z111" s="75"/>
      <c r="AA111" s="75"/>
      <c r="AB111" s="76"/>
      <c r="AC111" s="76"/>
      <c r="AD111" s="76"/>
      <c r="AE111" s="76"/>
      <c r="AF111" s="76"/>
      <c r="AG111" s="76"/>
      <c r="AH111" s="76"/>
      <c r="AI111" s="76"/>
      <c r="AJ111" s="76"/>
    </row>
    <row r="112" spans="1:36" s="11" customFormat="1" x14ac:dyDescent="0.25">
      <c r="A112" s="75"/>
      <c r="B112" s="75"/>
      <c r="C112" s="75"/>
      <c r="D112" s="183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459"/>
      <c r="X112" s="459"/>
      <c r="Y112" s="75"/>
      <c r="Z112" s="75"/>
      <c r="AA112" s="75"/>
      <c r="AB112" s="76"/>
      <c r="AC112" s="76"/>
      <c r="AD112" s="76"/>
      <c r="AE112" s="76"/>
      <c r="AF112" s="76"/>
      <c r="AG112" s="76"/>
      <c r="AH112" s="76"/>
      <c r="AI112" s="76"/>
      <c r="AJ112" s="76"/>
    </row>
    <row r="113" spans="1:36" s="11" customFormat="1" x14ac:dyDescent="0.25">
      <c r="A113" s="75"/>
      <c r="B113" s="75"/>
      <c r="C113" s="75"/>
      <c r="D113" s="183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459"/>
      <c r="X113" s="459"/>
      <c r="Y113" s="75"/>
      <c r="Z113" s="75"/>
      <c r="AA113" s="75"/>
      <c r="AB113" s="76"/>
      <c r="AC113" s="76"/>
      <c r="AD113" s="76"/>
      <c r="AE113" s="76"/>
      <c r="AF113" s="76"/>
      <c r="AG113" s="76"/>
      <c r="AH113" s="76"/>
      <c r="AI113" s="76"/>
      <c r="AJ113" s="76"/>
    </row>
    <row r="114" spans="1:36" s="11" customFormat="1" x14ac:dyDescent="0.25">
      <c r="A114" s="75"/>
      <c r="B114" s="75"/>
      <c r="C114" s="75"/>
      <c r="D114" s="183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459"/>
      <c r="X114" s="459"/>
      <c r="Y114" s="75"/>
      <c r="Z114" s="75"/>
      <c r="AA114" s="75"/>
      <c r="AB114" s="76"/>
      <c r="AC114" s="76"/>
      <c r="AD114" s="76"/>
      <c r="AE114" s="76"/>
      <c r="AF114" s="76"/>
      <c r="AG114" s="76"/>
      <c r="AH114" s="76"/>
      <c r="AI114" s="76"/>
      <c r="AJ114" s="76"/>
    </row>
    <row r="115" spans="1:36" s="11" customFormat="1" x14ac:dyDescent="0.25">
      <c r="A115" s="75"/>
      <c r="B115" s="75"/>
      <c r="C115" s="75"/>
      <c r="D115" s="183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459"/>
      <c r="X115" s="459"/>
      <c r="Y115" s="75"/>
      <c r="Z115" s="75"/>
      <c r="AA115" s="75"/>
      <c r="AB115" s="76"/>
      <c r="AC115" s="76"/>
      <c r="AD115" s="76"/>
      <c r="AE115" s="76"/>
      <c r="AF115" s="76"/>
      <c r="AG115" s="76"/>
      <c r="AH115" s="76"/>
      <c r="AI115" s="76"/>
      <c r="AJ115" s="76"/>
    </row>
    <row r="116" spans="1:36" s="11" customFormat="1" x14ac:dyDescent="0.25">
      <c r="A116" s="75"/>
      <c r="B116" s="75"/>
      <c r="C116" s="75"/>
      <c r="D116" s="183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459"/>
      <c r="X116" s="459"/>
      <c r="Y116" s="75"/>
      <c r="Z116" s="75"/>
      <c r="AA116" s="75"/>
      <c r="AB116" s="76"/>
      <c r="AC116" s="76"/>
      <c r="AD116" s="76"/>
      <c r="AE116" s="76"/>
      <c r="AF116" s="76"/>
      <c r="AG116" s="76"/>
      <c r="AH116" s="76"/>
      <c r="AI116" s="76"/>
      <c r="AJ116" s="76"/>
    </row>
    <row r="117" spans="1:36" s="11" customFormat="1" x14ac:dyDescent="0.25">
      <c r="A117" s="75"/>
      <c r="B117" s="75"/>
      <c r="C117" s="75"/>
      <c r="D117" s="183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459"/>
      <c r="X117" s="459"/>
      <c r="Y117" s="75"/>
      <c r="Z117" s="75"/>
      <c r="AA117" s="75"/>
      <c r="AB117" s="76"/>
      <c r="AC117" s="76"/>
      <c r="AD117" s="76"/>
      <c r="AE117" s="76"/>
      <c r="AF117" s="76"/>
      <c r="AG117" s="76"/>
      <c r="AH117" s="76"/>
      <c r="AI117" s="76"/>
      <c r="AJ117" s="76"/>
    </row>
    <row r="118" spans="1:36" s="11" customFormat="1" x14ac:dyDescent="0.25">
      <c r="A118" s="75"/>
      <c r="B118" s="75"/>
      <c r="C118" s="75"/>
      <c r="D118" s="183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459"/>
      <c r="X118" s="459"/>
      <c r="Y118" s="75"/>
      <c r="Z118" s="75"/>
      <c r="AA118" s="75"/>
      <c r="AB118" s="76"/>
      <c r="AC118" s="76"/>
      <c r="AD118" s="76"/>
      <c r="AE118" s="76"/>
      <c r="AF118" s="76"/>
      <c r="AG118" s="76"/>
      <c r="AH118" s="76"/>
      <c r="AI118" s="76"/>
      <c r="AJ118" s="76"/>
    </row>
    <row r="119" spans="1:36" s="11" customFormat="1" x14ac:dyDescent="0.25">
      <c r="A119" s="75"/>
      <c r="B119" s="75"/>
      <c r="C119" s="75"/>
      <c r="D119" s="183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459"/>
      <c r="X119" s="459"/>
      <c r="Y119" s="75"/>
      <c r="Z119" s="75"/>
      <c r="AA119" s="75"/>
      <c r="AB119" s="76"/>
      <c r="AC119" s="76"/>
      <c r="AD119" s="76"/>
      <c r="AE119" s="76"/>
      <c r="AF119" s="76"/>
      <c r="AG119" s="76"/>
      <c r="AH119" s="76"/>
      <c r="AI119" s="76"/>
      <c r="AJ119" s="76"/>
    </row>
    <row r="120" spans="1:36" s="11" customFormat="1" x14ac:dyDescent="0.25">
      <c r="A120" s="75"/>
      <c r="B120" s="75"/>
      <c r="C120" s="75"/>
      <c r="D120" s="183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459"/>
      <c r="X120" s="459"/>
      <c r="Y120" s="75"/>
      <c r="Z120" s="75"/>
      <c r="AA120" s="75"/>
      <c r="AB120" s="76"/>
      <c r="AC120" s="76"/>
      <c r="AD120" s="76"/>
      <c r="AE120" s="76"/>
      <c r="AF120" s="76"/>
      <c r="AG120" s="76"/>
      <c r="AH120" s="76"/>
      <c r="AI120" s="76"/>
      <c r="AJ120" s="76"/>
    </row>
    <row r="121" spans="1:36" s="11" customFormat="1" x14ac:dyDescent="0.25">
      <c r="A121" s="75"/>
      <c r="B121" s="75"/>
      <c r="C121" s="75"/>
      <c r="D121" s="183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459"/>
      <c r="X121" s="459"/>
      <c r="Y121" s="75"/>
      <c r="Z121" s="75"/>
      <c r="AA121" s="75"/>
      <c r="AB121" s="76"/>
      <c r="AC121" s="76"/>
      <c r="AD121" s="76"/>
      <c r="AE121" s="76"/>
      <c r="AF121" s="76"/>
      <c r="AG121" s="76"/>
      <c r="AH121" s="76"/>
      <c r="AI121" s="76"/>
      <c r="AJ121" s="76"/>
    </row>
    <row r="122" spans="1:36" s="11" customFormat="1" x14ac:dyDescent="0.25">
      <c r="A122" s="75"/>
      <c r="B122" s="75"/>
      <c r="C122" s="75"/>
      <c r="D122" s="183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459"/>
      <c r="X122" s="459"/>
      <c r="Y122" s="75"/>
      <c r="Z122" s="75"/>
      <c r="AA122" s="75"/>
      <c r="AB122" s="76"/>
      <c r="AC122" s="76"/>
      <c r="AD122" s="76"/>
      <c r="AE122" s="76"/>
      <c r="AF122" s="76"/>
      <c r="AG122" s="76"/>
      <c r="AH122" s="76"/>
      <c r="AI122" s="76"/>
      <c r="AJ122" s="76"/>
    </row>
    <row r="123" spans="1:36" s="11" customFormat="1" x14ac:dyDescent="0.25">
      <c r="D123" s="184"/>
      <c r="W123" s="460"/>
      <c r="X123" s="460"/>
    </row>
    <row r="124" spans="1:36" s="11" customFormat="1" x14ac:dyDescent="0.25">
      <c r="D124" s="184"/>
      <c r="W124" s="460"/>
      <c r="X124" s="460"/>
    </row>
    <row r="125" spans="1:36" s="11" customFormat="1" x14ac:dyDescent="0.25">
      <c r="D125" s="184"/>
      <c r="W125" s="460"/>
      <c r="X125" s="460"/>
    </row>
    <row r="126" spans="1:36" s="11" customFormat="1" x14ac:dyDescent="0.25">
      <c r="D126" s="184"/>
      <c r="W126" s="460"/>
      <c r="X126" s="460"/>
    </row>
    <row r="127" spans="1:36" s="11" customFormat="1" x14ac:dyDescent="0.25">
      <c r="D127" s="184"/>
      <c r="W127" s="460"/>
      <c r="X127" s="460"/>
    </row>
    <row r="128" spans="1:36" s="11" customFormat="1" x14ac:dyDescent="0.25">
      <c r="D128" s="184"/>
      <c r="W128" s="460"/>
      <c r="X128" s="460"/>
    </row>
    <row r="129" spans="4:24" s="11" customFormat="1" x14ac:dyDescent="0.25">
      <c r="D129" s="184"/>
      <c r="W129" s="460"/>
      <c r="X129" s="460"/>
    </row>
    <row r="130" spans="4:24" s="11" customFormat="1" x14ac:dyDescent="0.25">
      <c r="D130" s="184"/>
      <c r="W130" s="460"/>
      <c r="X130" s="460"/>
    </row>
    <row r="131" spans="4:24" s="11" customFormat="1" x14ac:dyDescent="0.25">
      <c r="D131" s="184"/>
      <c r="W131" s="460"/>
      <c r="X131" s="460"/>
    </row>
    <row r="132" spans="4:24" s="11" customFormat="1" x14ac:dyDescent="0.25">
      <c r="D132" s="184"/>
      <c r="W132" s="460"/>
      <c r="X132" s="460"/>
    </row>
    <row r="133" spans="4:24" s="11" customFormat="1" x14ac:dyDescent="0.25">
      <c r="D133" s="184"/>
      <c r="W133" s="460"/>
      <c r="X133" s="460"/>
    </row>
    <row r="134" spans="4:24" s="11" customFormat="1" x14ac:dyDescent="0.25">
      <c r="D134" s="184"/>
      <c r="W134" s="460"/>
      <c r="X134" s="460"/>
    </row>
    <row r="135" spans="4:24" s="11" customFormat="1" x14ac:dyDescent="0.25">
      <c r="D135" s="184"/>
      <c r="W135" s="460"/>
      <c r="X135" s="460"/>
    </row>
    <row r="136" spans="4:24" s="11" customFormat="1" x14ac:dyDescent="0.25">
      <c r="D136" s="184"/>
      <c r="W136" s="460"/>
      <c r="X136" s="460"/>
    </row>
    <row r="137" spans="4:24" s="11" customFormat="1" x14ac:dyDescent="0.25">
      <c r="D137" s="184"/>
      <c r="W137" s="460"/>
      <c r="X137" s="460"/>
    </row>
    <row r="138" spans="4:24" s="11" customFormat="1" x14ac:dyDescent="0.25">
      <c r="D138" s="184"/>
      <c r="W138" s="460"/>
      <c r="X138" s="460"/>
    </row>
    <row r="139" spans="4:24" s="11" customFormat="1" x14ac:dyDescent="0.25">
      <c r="D139" s="184"/>
      <c r="W139" s="460"/>
      <c r="X139" s="460"/>
    </row>
    <row r="140" spans="4:24" s="11" customFormat="1" x14ac:dyDescent="0.25">
      <c r="D140" s="184"/>
      <c r="W140" s="460"/>
      <c r="X140" s="460"/>
    </row>
    <row r="141" spans="4:24" s="11" customFormat="1" x14ac:dyDescent="0.25">
      <c r="D141" s="184"/>
      <c r="W141" s="460"/>
      <c r="X141" s="460"/>
    </row>
    <row r="142" spans="4:24" s="11" customFormat="1" x14ac:dyDescent="0.25">
      <c r="D142" s="184"/>
      <c r="W142" s="460"/>
      <c r="X142" s="460"/>
    </row>
    <row r="143" spans="4:24" s="11" customFormat="1" x14ac:dyDescent="0.25">
      <c r="D143" s="184"/>
      <c r="W143" s="460"/>
      <c r="X143" s="460"/>
    </row>
    <row r="144" spans="4:24" s="11" customFormat="1" x14ac:dyDescent="0.25">
      <c r="D144" s="184"/>
      <c r="W144" s="460"/>
      <c r="X144" s="460"/>
    </row>
    <row r="145" spans="4:24" s="11" customFormat="1" x14ac:dyDescent="0.25">
      <c r="D145" s="184"/>
      <c r="W145" s="460"/>
      <c r="X145" s="460"/>
    </row>
    <row r="146" spans="4:24" s="11" customFormat="1" x14ac:dyDescent="0.25">
      <c r="D146" s="184"/>
      <c r="W146" s="460"/>
      <c r="X146" s="460"/>
    </row>
    <row r="147" spans="4:24" s="11" customFormat="1" x14ac:dyDescent="0.25">
      <c r="D147" s="184"/>
      <c r="W147" s="460"/>
      <c r="X147" s="460"/>
    </row>
    <row r="148" spans="4:24" s="11" customFormat="1" x14ac:dyDescent="0.25">
      <c r="D148" s="184"/>
      <c r="W148" s="460"/>
      <c r="X148" s="460"/>
    </row>
    <row r="149" spans="4:24" s="11" customFormat="1" x14ac:dyDescent="0.25">
      <c r="D149" s="184"/>
      <c r="W149" s="460"/>
      <c r="X149" s="460"/>
    </row>
    <row r="150" spans="4:24" s="11" customFormat="1" x14ac:dyDescent="0.25">
      <c r="D150" s="184"/>
      <c r="W150" s="460"/>
      <c r="X150" s="460"/>
    </row>
    <row r="151" spans="4:24" s="11" customFormat="1" x14ac:dyDescent="0.25">
      <c r="D151" s="184"/>
      <c r="W151" s="460"/>
      <c r="X151" s="460"/>
    </row>
    <row r="152" spans="4:24" s="11" customFormat="1" x14ac:dyDescent="0.25">
      <c r="D152" s="184"/>
      <c r="W152" s="460"/>
      <c r="X152" s="460"/>
    </row>
    <row r="153" spans="4:24" s="11" customFormat="1" x14ac:dyDescent="0.25">
      <c r="D153" s="184"/>
      <c r="W153" s="460"/>
      <c r="X153" s="460"/>
    </row>
    <row r="154" spans="4:24" s="11" customFormat="1" x14ac:dyDescent="0.25">
      <c r="D154" s="184"/>
      <c r="W154" s="460"/>
      <c r="X154" s="460"/>
    </row>
    <row r="155" spans="4:24" s="11" customFormat="1" x14ac:dyDescent="0.25">
      <c r="D155" s="184"/>
      <c r="W155" s="460"/>
      <c r="X155" s="460"/>
    </row>
    <row r="156" spans="4:24" s="11" customFormat="1" x14ac:dyDescent="0.25">
      <c r="D156" s="184"/>
      <c r="W156" s="460"/>
      <c r="X156" s="460"/>
    </row>
    <row r="157" spans="4:24" s="11" customFormat="1" x14ac:dyDescent="0.25">
      <c r="D157" s="184"/>
      <c r="W157" s="460"/>
      <c r="X157" s="460"/>
    </row>
    <row r="158" spans="4:24" s="11" customFormat="1" x14ac:dyDescent="0.25">
      <c r="D158" s="184"/>
      <c r="W158" s="460"/>
      <c r="X158" s="460"/>
    </row>
    <row r="159" spans="4:24" s="11" customFormat="1" x14ac:dyDescent="0.25">
      <c r="D159" s="184"/>
      <c r="W159" s="460"/>
      <c r="X159" s="460"/>
    </row>
    <row r="160" spans="4:24" s="11" customFormat="1" x14ac:dyDescent="0.25">
      <c r="D160" s="184"/>
      <c r="W160" s="460"/>
      <c r="X160" s="460"/>
    </row>
    <row r="161" spans="4:24" s="11" customFormat="1" x14ac:dyDescent="0.25">
      <c r="D161" s="184"/>
      <c r="W161" s="460"/>
      <c r="X161" s="460"/>
    </row>
    <row r="162" spans="4:24" s="11" customFormat="1" x14ac:dyDescent="0.25">
      <c r="D162" s="184"/>
      <c r="W162" s="460"/>
      <c r="X162" s="460"/>
    </row>
    <row r="163" spans="4:24" s="11" customFormat="1" x14ac:dyDescent="0.25">
      <c r="D163" s="184"/>
      <c r="W163" s="460"/>
      <c r="X163" s="460"/>
    </row>
    <row r="164" spans="4:24" s="11" customFormat="1" x14ac:dyDescent="0.25">
      <c r="D164" s="184"/>
      <c r="W164" s="460"/>
      <c r="X164" s="460"/>
    </row>
    <row r="165" spans="4:24" s="11" customFormat="1" x14ac:dyDescent="0.25">
      <c r="D165" s="184"/>
      <c r="W165" s="460"/>
      <c r="X165" s="460"/>
    </row>
    <row r="166" spans="4:24" s="11" customFormat="1" x14ac:dyDescent="0.25">
      <c r="D166" s="184"/>
      <c r="W166" s="460"/>
      <c r="X166" s="460"/>
    </row>
    <row r="167" spans="4:24" s="11" customFormat="1" x14ac:dyDescent="0.25">
      <c r="D167" s="184"/>
      <c r="W167" s="460"/>
      <c r="X167" s="460"/>
    </row>
    <row r="168" spans="4:24" s="11" customFormat="1" x14ac:dyDescent="0.25">
      <c r="D168" s="184"/>
      <c r="W168" s="460"/>
      <c r="X168" s="460"/>
    </row>
    <row r="169" spans="4:24" s="11" customFormat="1" x14ac:dyDescent="0.25">
      <c r="D169" s="184"/>
      <c r="W169" s="460"/>
      <c r="X169" s="460"/>
    </row>
    <row r="170" spans="4:24" s="11" customFormat="1" x14ac:dyDescent="0.25">
      <c r="D170" s="184"/>
      <c r="W170" s="460"/>
      <c r="X170" s="460"/>
    </row>
    <row r="171" spans="4:24" s="11" customFormat="1" x14ac:dyDescent="0.25">
      <c r="D171" s="184"/>
      <c r="W171" s="460"/>
      <c r="X171" s="460"/>
    </row>
    <row r="172" spans="4:24" s="11" customFormat="1" x14ac:dyDescent="0.25">
      <c r="D172" s="184"/>
      <c r="W172" s="460"/>
      <c r="X172" s="460"/>
    </row>
    <row r="173" spans="4:24" s="11" customFormat="1" x14ac:dyDescent="0.25">
      <c r="D173" s="184"/>
      <c r="W173" s="460"/>
      <c r="X173" s="460"/>
    </row>
    <row r="174" spans="4:24" s="11" customFormat="1" x14ac:dyDescent="0.25">
      <c r="D174" s="184"/>
      <c r="W174" s="460"/>
      <c r="X174" s="460"/>
    </row>
    <row r="175" spans="4:24" s="11" customFormat="1" x14ac:dyDescent="0.25">
      <c r="D175" s="184"/>
      <c r="W175" s="460"/>
      <c r="X175" s="460"/>
    </row>
    <row r="176" spans="4:24" s="11" customFormat="1" x14ac:dyDescent="0.25">
      <c r="D176" s="184"/>
      <c r="W176" s="460"/>
      <c r="X176" s="460"/>
    </row>
    <row r="177" spans="4:24" s="11" customFormat="1" x14ac:dyDescent="0.25">
      <c r="D177" s="184"/>
      <c r="W177" s="460"/>
      <c r="X177" s="460"/>
    </row>
    <row r="178" spans="4:24" s="11" customFormat="1" x14ac:dyDescent="0.25">
      <c r="D178" s="184"/>
      <c r="W178" s="460"/>
      <c r="X178" s="460"/>
    </row>
    <row r="179" spans="4:24" s="11" customFormat="1" x14ac:dyDescent="0.25">
      <c r="D179" s="184"/>
      <c r="W179" s="460"/>
      <c r="X179" s="460"/>
    </row>
    <row r="180" spans="4:24" s="11" customFormat="1" x14ac:dyDescent="0.25">
      <c r="D180" s="184"/>
      <c r="W180" s="460"/>
      <c r="X180" s="460"/>
    </row>
    <row r="181" spans="4:24" s="11" customFormat="1" x14ac:dyDescent="0.25">
      <c r="D181" s="184"/>
      <c r="W181" s="460"/>
      <c r="X181" s="460"/>
    </row>
    <row r="182" spans="4:24" s="11" customFormat="1" x14ac:dyDescent="0.25">
      <c r="D182" s="184"/>
      <c r="W182" s="460"/>
      <c r="X182" s="460"/>
    </row>
    <row r="183" spans="4:24" s="11" customFormat="1" x14ac:dyDescent="0.25">
      <c r="D183" s="184"/>
      <c r="W183" s="460"/>
      <c r="X183" s="460"/>
    </row>
    <row r="184" spans="4:24" s="11" customFormat="1" x14ac:dyDescent="0.25">
      <c r="D184" s="184"/>
      <c r="W184" s="460"/>
      <c r="X184" s="460"/>
    </row>
    <row r="185" spans="4:24" s="11" customFormat="1" x14ac:dyDescent="0.25">
      <c r="D185" s="184"/>
      <c r="W185" s="460"/>
      <c r="X185" s="460"/>
    </row>
    <row r="186" spans="4:24" s="11" customFormat="1" x14ac:dyDescent="0.25">
      <c r="D186" s="184"/>
      <c r="W186" s="460"/>
      <c r="X186" s="460"/>
    </row>
    <row r="187" spans="4:24" s="11" customFormat="1" x14ac:dyDescent="0.25">
      <c r="D187" s="184"/>
      <c r="W187" s="460"/>
      <c r="X187" s="460"/>
    </row>
  </sheetData>
  <sheetProtection sheet="1"/>
  <phoneticPr fontId="7" type="noConversion"/>
  <pageMargins left="0.23622047244094491" right="0.23622047244094491" top="0.6692913385826772" bottom="0.59055118110236227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5"/>
  <dimension ref="A1:AH142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21.7109375" style="3" customWidth="1"/>
    <col min="2" max="2" width="17.28515625" style="3" customWidth="1"/>
    <col min="3" max="3" width="41.140625" style="10" customWidth="1"/>
    <col min="4" max="4" width="9.140625" style="3" customWidth="1"/>
    <col min="5" max="5" width="9" style="3" customWidth="1"/>
    <col min="6" max="6" width="9.28515625" style="3" customWidth="1"/>
    <col min="7" max="9" width="9.140625" style="3" hidden="1" customWidth="1"/>
    <col min="10" max="10" width="8.7109375" style="10" hidden="1" customWidth="1"/>
    <col min="11" max="11" width="10.28515625" style="3" hidden="1" customWidth="1"/>
    <col min="12" max="12" width="9.7109375" style="3" hidden="1" customWidth="1"/>
    <col min="13" max="13" width="8.7109375" style="3" hidden="1" customWidth="1"/>
    <col min="14" max="14" width="7.85546875" style="3" hidden="1" customWidth="1"/>
    <col min="15" max="15" width="10.140625" style="3" hidden="1" customWidth="1"/>
    <col min="16" max="16" width="9.140625" style="3" customWidth="1"/>
    <col min="17" max="20" width="9.7109375" style="3" customWidth="1"/>
    <col min="21" max="21" width="11.140625" style="3" customWidth="1"/>
    <col min="22" max="22" width="9.140625" style="3" customWidth="1"/>
    <col min="23" max="23" width="10.42578125" style="3" customWidth="1"/>
    <col min="24" max="26" width="9.140625" style="3" hidden="1" customWidth="1"/>
    <col min="27" max="16384" width="9.140625" style="3"/>
  </cols>
  <sheetData>
    <row r="1" spans="1:34" ht="19.5" customHeight="1" x14ac:dyDescent="0.25">
      <c r="A1" s="9" t="s">
        <v>145</v>
      </c>
      <c r="B1" s="5"/>
      <c r="D1" s="5"/>
      <c r="E1" s="5"/>
      <c r="F1" s="5"/>
      <c r="G1" s="5"/>
      <c r="H1" s="5"/>
      <c r="I1" s="5"/>
      <c r="K1" s="6"/>
      <c r="L1" s="6"/>
      <c r="M1" s="6"/>
      <c r="N1" s="6"/>
      <c r="O1" s="5"/>
    </row>
    <row r="2" spans="1:34" x14ac:dyDescent="0.25">
      <c r="A2" s="4" t="s">
        <v>146</v>
      </c>
      <c r="B2" s="5"/>
      <c r="D2" s="5"/>
      <c r="E2" s="5"/>
      <c r="F2" s="5"/>
      <c r="G2" s="5"/>
      <c r="H2" s="5"/>
      <c r="I2" s="5"/>
      <c r="K2" s="6"/>
      <c r="L2" s="6"/>
      <c r="M2" s="6"/>
      <c r="N2" s="6"/>
      <c r="O2" s="5"/>
    </row>
    <row r="3" spans="1:34" x14ac:dyDescent="0.25">
      <c r="A3" s="4" t="s">
        <v>169</v>
      </c>
      <c r="B3" s="5"/>
      <c r="D3" s="5"/>
      <c r="E3" s="5"/>
      <c r="F3" s="5"/>
      <c r="G3" s="5"/>
      <c r="H3" s="5"/>
      <c r="I3" s="5"/>
      <c r="K3" s="6"/>
      <c r="L3" s="6"/>
      <c r="M3" s="6"/>
      <c r="N3" s="6"/>
      <c r="O3" s="5"/>
    </row>
    <row r="4" spans="1:34" x14ac:dyDescent="0.25">
      <c r="A4" s="15" t="s">
        <v>279</v>
      </c>
      <c r="B4" s="5"/>
      <c r="D4" s="5"/>
      <c r="E4" s="5"/>
      <c r="F4" s="5"/>
      <c r="G4" s="5"/>
      <c r="H4" s="5"/>
      <c r="I4" s="5"/>
      <c r="K4" s="7"/>
      <c r="L4" s="7"/>
      <c r="M4" s="7"/>
      <c r="N4" s="7"/>
      <c r="O4" s="5"/>
    </row>
    <row r="5" spans="1:34" x14ac:dyDescent="0.25">
      <c r="A5" s="190" t="s">
        <v>448</v>
      </c>
      <c r="B5" s="5"/>
      <c r="D5" s="5"/>
      <c r="E5" s="5"/>
      <c r="F5" s="5"/>
      <c r="G5" s="5"/>
      <c r="H5" s="5"/>
      <c r="I5" s="5"/>
      <c r="K5" s="7"/>
      <c r="L5" s="7"/>
      <c r="M5" s="7"/>
      <c r="N5" s="7"/>
      <c r="O5" s="5"/>
    </row>
    <row r="6" spans="1:34" x14ac:dyDescent="0.25">
      <c r="A6" s="5"/>
      <c r="B6" s="5"/>
      <c r="D6" s="5"/>
      <c r="E6" s="5"/>
      <c r="F6" s="5"/>
      <c r="G6" s="5"/>
      <c r="H6" s="5"/>
      <c r="I6" s="5"/>
      <c r="K6" s="7"/>
      <c r="L6" s="7"/>
      <c r="M6" s="7"/>
      <c r="N6" s="7"/>
      <c r="O6" s="5"/>
    </row>
    <row r="7" spans="1:34" s="73" customFormat="1" ht="84" customHeight="1" x14ac:dyDescent="0.2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297</v>
      </c>
      <c r="H7" s="1" t="s">
        <v>294</v>
      </c>
      <c r="I7" s="1" t="s">
        <v>295</v>
      </c>
      <c r="J7" s="1" t="s">
        <v>296</v>
      </c>
      <c r="K7" s="1" t="s">
        <v>298</v>
      </c>
      <c r="L7" s="1" t="s">
        <v>299</v>
      </c>
      <c r="M7" s="1" t="s">
        <v>300</v>
      </c>
      <c r="N7" s="1" t="s">
        <v>301</v>
      </c>
      <c r="O7" s="1" t="s">
        <v>302</v>
      </c>
      <c r="P7" s="1" t="s">
        <v>165</v>
      </c>
      <c r="Q7" s="68" t="s">
        <v>147</v>
      </c>
      <c r="R7" s="68" t="s">
        <v>148</v>
      </c>
      <c r="S7" s="68" t="s">
        <v>274</v>
      </c>
      <c r="T7" s="68" t="s">
        <v>275</v>
      </c>
      <c r="U7" s="68" t="s">
        <v>306</v>
      </c>
      <c r="V7" s="68" t="s">
        <v>421</v>
      </c>
      <c r="W7" s="68" t="s">
        <v>416</v>
      </c>
      <c r="X7" s="68" t="s">
        <v>225</v>
      </c>
      <c r="Y7" s="68" t="s">
        <v>226</v>
      </c>
      <c r="Z7" s="68" t="s">
        <v>265</v>
      </c>
      <c r="AA7" s="68" t="s">
        <v>266</v>
      </c>
      <c r="AB7" s="68" t="s">
        <v>268</v>
      </c>
    </row>
    <row r="8" spans="1:34" s="11" customFormat="1" x14ac:dyDescent="0.25">
      <c r="A8" s="85" t="s">
        <v>241</v>
      </c>
      <c r="B8" s="85" t="s">
        <v>62</v>
      </c>
      <c r="C8" s="85" t="s">
        <v>61</v>
      </c>
      <c r="D8" s="111"/>
      <c r="E8" s="111"/>
      <c r="F8" s="85">
        <v>100</v>
      </c>
      <c r="G8" s="85">
        <v>22</v>
      </c>
      <c r="H8" s="85">
        <v>120</v>
      </c>
      <c r="I8" s="85">
        <v>48</v>
      </c>
      <c r="J8" s="85">
        <v>127</v>
      </c>
      <c r="K8" s="85"/>
      <c r="L8" s="85"/>
      <c r="M8" s="85"/>
      <c r="N8" s="85"/>
      <c r="O8" s="85">
        <f t="shared" ref="O8:O136" si="0">L8+H8</f>
        <v>120</v>
      </c>
      <c r="P8" s="50">
        <f>IF(E8="SI", D8*F8/1000*K8, 0)</f>
        <v>0</v>
      </c>
      <c r="Q8" s="70">
        <f>(D8*F8/1000*G8)+P8</f>
        <v>0</v>
      </c>
      <c r="R8" s="70">
        <f>(D8*F8/1000*K8)-P8</f>
        <v>0</v>
      </c>
      <c r="S8" s="70">
        <f>IF(P8=0,H8*D8*F8/1000,((H8*D8*F8/1000)+(L8*D8*F8/1000)))</f>
        <v>0</v>
      </c>
      <c r="T8" s="70">
        <f>IF(P8=0, L8*D8*F8/1000, 0)</f>
        <v>0</v>
      </c>
      <c r="U8" s="70">
        <f>D8*F8/1000</f>
        <v>0</v>
      </c>
      <c r="V8" s="70">
        <f>D8*F8*I8/1000+D8*F8/1000*M8</f>
        <v>0</v>
      </c>
      <c r="W8" s="70">
        <f>D8*F8*J8/1000+D8*F8/1000*N8</f>
        <v>0</v>
      </c>
      <c r="X8" s="85"/>
      <c r="Y8" s="85">
        <v>0.4</v>
      </c>
      <c r="Z8" s="85">
        <v>0</v>
      </c>
      <c r="AA8" s="86">
        <f>Y8*D8</f>
        <v>0</v>
      </c>
      <c r="AB8" s="86">
        <f>Z8*D8</f>
        <v>0</v>
      </c>
      <c r="AC8" s="76"/>
      <c r="AD8" s="76"/>
      <c r="AE8" s="76"/>
      <c r="AF8" s="76"/>
      <c r="AG8" s="76"/>
      <c r="AH8" s="76"/>
    </row>
    <row r="9" spans="1:34" s="11" customFormat="1" x14ac:dyDescent="0.25">
      <c r="A9" s="85" t="s">
        <v>241</v>
      </c>
      <c r="B9" s="85" t="s">
        <v>62</v>
      </c>
      <c r="C9" s="85" t="s">
        <v>60</v>
      </c>
      <c r="D9" s="111"/>
      <c r="E9" s="111"/>
      <c r="F9" s="85">
        <v>100</v>
      </c>
      <c r="G9" s="85">
        <v>1.5</v>
      </c>
      <c r="H9" s="85">
        <v>20</v>
      </c>
      <c r="I9" s="85">
        <v>8</v>
      </c>
      <c r="J9" s="85">
        <v>10.6</v>
      </c>
      <c r="K9" s="85">
        <v>24</v>
      </c>
      <c r="L9" s="85">
        <v>100</v>
      </c>
      <c r="M9" s="85">
        <v>40</v>
      </c>
      <c r="N9" s="85">
        <v>116.4</v>
      </c>
      <c r="O9" s="85">
        <f t="shared" ref="O9:O72" si="1">L9+H9</f>
        <v>120</v>
      </c>
      <c r="P9" s="50">
        <f t="shared" ref="P9:P72" si="2">IF(E9="SI", D9*F9/1000*K9, 0)</f>
        <v>0</v>
      </c>
      <c r="Q9" s="70">
        <f t="shared" ref="Q9:Q72" si="3">(D9*F9/1000*G9)+P9</f>
        <v>0</v>
      </c>
      <c r="R9" s="70">
        <f t="shared" ref="R9:R72" si="4">(D9*F9/1000*K9)-P9</f>
        <v>0</v>
      </c>
      <c r="S9" s="70">
        <f t="shared" ref="S9:S72" si="5">IF(P9=0,H9*D9*F9/1000,((H9*D9*F9/1000)+(L9*D9*F9/1000)))</f>
        <v>0</v>
      </c>
      <c r="T9" s="70">
        <f t="shared" ref="T9:T72" si="6">IF(P9=0, L9*D9*F9/1000, 0)</f>
        <v>0</v>
      </c>
      <c r="U9" s="70">
        <f t="shared" ref="U9:U72" si="7">D9*F9/1000</f>
        <v>0</v>
      </c>
      <c r="V9" s="70">
        <f t="shared" ref="V9:V72" si="8">D9*F9*I9/1000+D9*F9/1000*M9</f>
        <v>0</v>
      </c>
      <c r="W9" s="70">
        <f t="shared" ref="W9:W72" si="9">D9*F9*J9/1000+D9*F9/1000*N9</f>
        <v>0</v>
      </c>
      <c r="X9" s="85"/>
      <c r="Y9" s="85">
        <v>0.4</v>
      </c>
      <c r="Z9" s="85">
        <v>0</v>
      </c>
      <c r="AA9" s="86">
        <f t="shared" ref="AA9:AA72" si="10">Y9*D9</f>
        <v>0</v>
      </c>
      <c r="AB9" s="86">
        <f t="shared" ref="AB9:AB72" si="11">Z9*D9</f>
        <v>0</v>
      </c>
      <c r="AC9" s="76"/>
      <c r="AD9" s="76"/>
      <c r="AE9" s="76"/>
      <c r="AF9" s="76"/>
      <c r="AG9" s="76"/>
      <c r="AH9" s="76"/>
    </row>
    <row r="10" spans="1:34" s="11" customFormat="1" ht="21" x14ac:dyDescent="0.25">
      <c r="A10" s="85" t="s">
        <v>241</v>
      </c>
      <c r="B10" s="85" t="s">
        <v>62</v>
      </c>
      <c r="C10" s="85" t="s">
        <v>129</v>
      </c>
      <c r="D10" s="111"/>
      <c r="E10" s="111"/>
      <c r="F10" s="85">
        <v>100</v>
      </c>
      <c r="G10" s="85"/>
      <c r="H10" s="85"/>
      <c r="I10" s="85"/>
      <c r="J10" s="85"/>
      <c r="K10" s="85">
        <v>25.5</v>
      </c>
      <c r="L10" s="85">
        <v>120</v>
      </c>
      <c r="M10" s="85">
        <v>48</v>
      </c>
      <c r="N10" s="85">
        <v>127</v>
      </c>
      <c r="O10" s="85">
        <f t="shared" si="1"/>
        <v>120</v>
      </c>
      <c r="P10" s="50">
        <f t="shared" si="2"/>
        <v>0</v>
      </c>
      <c r="Q10" s="70">
        <f t="shared" si="3"/>
        <v>0</v>
      </c>
      <c r="R10" s="70">
        <f t="shared" si="4"/>
        <v>0</v>
      </c>
      <c r="S10" s="70">
        <f t="shared" si="5"/>
        <v>0</v>
      </c>
      <c r="T10" s="70">
        <f t="shared" si="6"/>
        <v>0</v>
      </c>
      <c r="U10" s="70">
        <f t="shared" si="7"/>
        <v>0</v>
      </c>
      <c r="V10" s="70">
        <f t="shared" si="8"/>
        <v>0</v>
      </c>
      <c r="W10" s="70">
        <f t="shared" si="9"/>
        <v>0</v>
      </c>
      <c r="X10" s="85"/>
      <c r="Y10" s="85">
        <v>0.4</v>
      </c>
      <c r="Z10" s="85">
        <v>0</v>
      </c>
      <c r="AA10" s="86">
        <f t="shared" si="10"/>
        <v>0</v>
      </c>
      <c r="AB10" s="86">
        <f t="shared" si="11"/>
        <v>0</v>
      </c>
      <c r="AC10" s="76"/>
      <c r="AD10" s="76"/>
      <c r="AE10" s="76"/>
      <c r="AF10" s="76"/>
      <c r="AG10" s="76"/>
      <c r="AH10" s="76"/>
    </row>
    <row r="11" spans="1:34" s="11" customFormat="1" ht="21" x14ac:dyDescent="0.25">
      <c r="A11" s="85" t="s">
        <v>241</v>
      </c>
      <c r="B11" s="85" t="s">
        <v>142</v>
      </c>
      <c r="C11" s="85" t="s">
        <v>61</v>
      </c>
      <c r="D11" s="111"/>
      <c r="E11" s="111"/>
      <c r="F11" s="85">
        <v>100</v>
      </c>
      <c r="G11" s="85">
        <v>22</v>
      </c>
      <c r="H11" s="85">
        <v>120</v>
      </c>
      <c r="I11" s="85">
        <v>48</v>
      </c>
      <c r="J11" s="85">
        <v>127</v>
      </c>
      <c r="K11" s="85"/>
      <c r="L11" s="85"/>
      <c r="M11" s="85"/>
      <c r="N11" s="85"/>
      <c r="O11" s="85">
        <f t="shared" si="1"/>
        <v>120</v>
      </c>
      <c r="P11" s="50">
        <f t="shared" si="2"/>
        <v>0</v>
      </c>
      <c r="Q11" s="70">
        <f t="shared" si="3"/>
        <v>0</v>
      </c>
      <c r="R11" s="70">
        <f t="shared" si="4"/>
        <v>0</v>
      </c>
      <c r="S11" s="70">
        <f t="shared" si="5"/>
        <v>0</v>
      </c>
      <c r="T11" s="70">
        <f t="shared" si="6"/>
        <v>0</v>
      </c>
      <c r="U11" s="70">
        <f t="shared" si="7"/>
        <v>0</v>
      </c>
      <c r="V11" s="70">
        <f t="shared" si="8"/>
        <v>0</v>
      </c>
      <c r="W11" s="70">
        <f t="shared" si="9"/>
        <v>0</v>
      </c>
      <c r="X11" s="85"/>
      <c r="Y11" s="85">
        <v>0.4</v>
      </c>
      <c r="Z11" s="85">
        <v>0</v>
      </c>
      <c r="AA11" s="86">
        <f t="shared" si="10"/>
        <v>0</v>
      </c>
      <c r="AB11" s="86">
        <f t="shared" si="11"/>
        <v>0</v>
      </c>
      <c r="AC11" s="76"/>
      <c r="AD11" s="76"/>
      <c r="AE11" s="76"/>
      <c r="AF11" s="76"/>
      <c r="AG11" s="76"/>
      <c r="AH11" s="76"/>
    </row>
    <row r="12" spans="1:34" s="11" customFormat="1" ht="21" x14ac:dyDescent="0.25">
      <c r="A12" s="85" t="s">
        <v>241</v>
      </c>
      <c r="B12" s="85" t="s">
        <v>142</v>
      </c>
      <c r="C12" s="85" t="s">
        <v>60</v>
      </c>
      <c r="D12" s="111"/>
      <c r="E12" s="111"/>
      <c r="F12" s="85">
        <v>100</v>
      </c>
      <c r="G12" s="85">
        <v>1.5</v>
      </c>
      <c r="H12" s="85">
        <v>20</v>
      </c>
      <c r="I12" s="85">
        <v>8</v>
      </c>
      <c r="J12" s="85">
        <v>10.6</v>
      </c>
      <c r="K12" s="85">
        <v>24</v>
      </c>
      <c r="L12" s="85">
        <v>100</v>
      </c>
      <c r="M12" s="85">
        <v>40</v>
      </c>
      <c r="N12" s="85">
        <v>116.4</v>
      </c>
      <c r="O12" s="85">
        <f t="shared" si="1"/>
        <v>120</v>
      </c>
      <c r="P12" s="50">
        <f t="shared" si="2"/>
        <v>0</v>
      </c>
      <c r="Q12" s="70">
        <f t="shared" si="3"/>
        <v>0</v>
      </c>
      <c r="R12" s="70">
        <f t="shared" si="4"/>
        <v>0</v>
      </c>
      <c r="S12" s="70">
        <f t="shared" si="5"/>
        <v>0</v>
      </c>
      <c r="T12" s="70">
        <f t="shared" si="6"/>
        <v>0</v>
      </c>
      <c r="U12" s="70">
        <f t="shared" si="7"/>
        <v>0</v>
      </c>
      <c r="V12" s="70">
        <f t="shared" si="8"/>
        <v>0</v>
      </c>
      <c r="W12" s="70">
        <f t="shared" si="9"/>
        <v>0</v>
      </c>
      <c r="X12" s="85"/>
      <c r="Y12" s="85">
        <v>0.4</v>
      </c>
      <c r="Z12" s="85">
        <v>0</v>
      </c>
      <c r="AA12" s="86">
        <f t="shared" si="10"/>
        <v>0</v>
      </c>
      <c r="AB12" s="86">
        <f t="shared" si="11"/>
        <v>0</v>
      </c>
      <c r="AC12" s="76"/>
      <c r="AD12" s="76"/>
      <c r="AE12" s="76"/>
      <c r="AF12" s="76"/>
      <c r="AG12" s="76"/>
      <c r="AH12" s="76"/>
    </row>
    <row r="13" spans="1:34" s="11" customFormat="1" ht="21" x14ac:dyDescent="0.25">
      <c r="A13" s="85" t="s">
        <v>241</v>
      </c>
      <c r="B13" s="85" t="s">
        <v>142</v>
      </c>
      <c r="C13" s="85" t="s">
        <v>129</v>
      </c>
      <c r="D13" s="111"/>
      <c r="E13" s="111"/>
      <c r="F13" s="85">
        <v>100</v>
      </c>
      <c r="G13" s="85"/>
      <c r="H13" s="85"/>
      <c r="I13" s="85"/>
      <c r="J13" s="85"/>
      <c r="K13" s="85">
        <v>25.5</v>
      </c>
      <c r="L13" s="85">
        <v>120</v>
      </c>
      <c r="M13" s="85">
        <v>48</v>
      </c>
      <c r="N13" s="85">
        <v>127</v>
      </c>
      <c r="O13" s="85">
        <f t="shared" si="1"/>
        <v>120</v>
      </c>
      <c r="P13" s="50">
        <f t="shared" si="2"/>
        <v>0</v>
      </c>
      <c r="Q13" s="70">
        <f t="shared" si="3"/>
        <v>0</v>
      </c>
      <c r="R13" s="70">
        <f t="shared" si="4"/>
        <v>0</v>
      </c>
      <c r="S13" s="70">
        <f t="shared" si="5"/>
        <v>0</v>
      </c>
      <c r="T13" s="70">
        <f t="shared" si="6"/>
        <v>0</v>
      </c>
      <c r="U13" s="70">
        <f t="shared" si="7"/>
        <v>0</v>
      </c>
      <c r="V13" s="70">
        <f t="shared" si="8"/>
        <v>0</v>
      </c>
      <c r="W13" s="70">
        <f t="shared" si="9"/>
        <v>0</v>
      </c>
      <c r="X13" s="85"/>
      <c r="Y13" s="85">
        <v>0.4</v>
      </c>
      <c r="Z13" s="85">
        <v>0</v>
      </c>
      <c r="AA13" s="86">
        <f t="shared" si="10"/>
        <v>0</v>
      </c>
      <c r="AB13" s="86">
        <f t="shared" si="11"/>
        <v>0</v>
      </c>
      <c r="AC13" s="76"/>
      <c r="AD13" s="76"/>
      <c r="AE13" s="76"/>
      <c r="AF13" s="76"/>
      <c r="AG13" s="76"/>
      <c r="AH13" s="76"/>
    </row>
    <row r="14" spans="1:34" s="11" customFormat="1" ht="21" x14ac:dyDescent="0.25">
      <c r="A14" s="85" t="s">
        <v>241</v>
      </c>
      <c r="B14" s="85" t="s">
        <v>63</v>
      </c>
      <c r="C14" s="85" t="s">
        <v>64</v>
      </c>
      <c r="D14" s="111"/>
      <c r="E14" s="111"/>
      <c r="F14" s="85">
        <v>130</v>
      </c>
      <c r="G14" s="85">
        <v>91</v>
      </c>
      <c r="H14" s="85">
        <v>67</v>
      </c>
      <c r="I14" s="85">
        <v>26.8</v>
      </c>
      <c r="J14" s="85">
        <v>127</v>
      </c>
      <c r="K14" s="85"/>
      <c r="L14" s="85"/>
      <c r="M14" s="85"/>
      <c r="N14" s="85"/>
      <c r="O14" s="85">
        <f t="shared" si="1"/>
        <v>67</v>
      </c>
      <c r="P14" s="50">
        <f t="shared" si="2"/>
        <v>0</v>
      </c>
      <c r="Q14" s="70">
        <f t="shared" si="3"/>
        <v>0</v>
      </c>
      <c r="R14" s="70">
        <f t="shared" si="4"/>
        <v>0</v>
      </c>
      <c r="S14" s="70">
        <f t="shared" si="5"/>
        <v>0</v>
      </c>
      <c r="T14" s="70">
        <f t="shared" si="6"/>
        <v>0</v>
      </c>
      <c r="U14" s="70">
        <f t="shared" si="7"/>
        <v>0</v>
      </c>
      <c r="V14" s="70">
        <f t="shared" si="8"/>
        <v>0</v>
      </c>
      <c r="W14" s="70">
        <f t="shared" si="9"/>
        <v>0</v>
      </c>
      <c r="X14" s="85"/>
      <c r="Y14" s="85">
        <v>0.4</v>
      </c>
      <c r="Z14" s="85">
        <v>0</v>
      </c>
      <c r="AA14" s="86">
        <f t="shared" si="10"/>
        <v>0</v>
      </c>
      <c r="AB14" s="86">
        <f t="shared" si="11"/>
        <v>0</v>
      </c>
      <c r="AC14" s="76"/>
      <c r="AD14" s="76"/>
      <c r="AE14" s="76"/>
      <c r="AF14" s="76"/>
      <c r="AG14" s="76"/>
      <c r="AH14" s="76"/>
    </row>
    <row r="15" spans="1:34" s="11" customFormat="1" ht="21" x14ac:dyDescent="0.25">
      <c r="A15" s="85" t="s">
        <v>241</v>
      </c>
      <c r="B15" s="85" t="s">
        <v>63</v>
      </c>
      <c r="C15" s="85" t="s">
        <v>65</v>
      </c>
      <c r="D15" s="111"/>
      <c r="E15" s="111"/>
      <c r="F15" s="85">
        <v>130</v>
      </c>
      <c r="G15" s="85">
        <v>55</v>
      </c>
      <c r="H15" s="85">
        <v>67</v>
      </c>
      <c r="I15" s="85">
        <v>26.8</v>
      </c>
      <c r="J15" s="85">
        <v>127</v>
      </c>
      <c r="K15" s="85"/>
      <c r="L15" s="85"/>
      <c r="M15" s="85"/>
      <c r="N15" s="85"/>
      <c r="O15" s="85">
        <f t="shared" si="1"/>
        <v>67</v>
      </c>
      <c r="P15" s="50">
        <f t="shared" si="2"/>
        <v>0</v>
      </c>
      <c r="Q15" s="70">
        <f t="shared" si="3"/>
        <v>0</v>
      </c>
      <c r="R15" s="70">
        <f t="shared" si="4"/>
        <v>0</v>
      </c>
      <c r="S15" s="70">
        <f t="shared" si="5"/>
        <v>0</v>
      </c>
      <c r="T15" s="70">
        <f t="shared" si="6"/>
        <v>0</v>
      </c>
      <c r="U15" s="70">
        <f t="shared" si="7"/>
        <v>0</v>
      </c>
      <c r="V15" s="70">
        <f t="shared" si="8"/>
        <v>0</v>
      </c>
      <c r="W15" s="70">
        <f t="shared" si="9"/>
        <v>0</v>
      </c>
      <c r="X15" s="85"/>
      <c r="Y15" s="85">
        <v>0.4</v>
      </c>
      <c r="Z15" s="85">
        <v>0</v>
      </c>
      <c r="AA15" s="86">
        <f t="shared" si="10"/>
        <v>0</v>
      </c>
      <c r="AB15" s="86">
        <f t="shared" si="11"/>
        <v>0</v>
      </c>
      <c r="AC15" s="76"/>
      <c r="AD15" s="76"/>
      <c r="AE15" s="76"/>
      <c r="AF15" s="76"/>
      <c r="AG15" s="76"/>
      <c r="AH15" s="76"/>
    </row>
    <row r="16" spans="1:34" s="11" customFormat="1" ht="21" x14ac:dyDescent="0.25">
      <c r="A16" s="85" t="s">
        <v>241</v>
      </c>
      <c r="B16" s="85" t="s">
        <v>63</v>
      </c>
      <c r="C16" s="85" t="s">
        <v>66</v>
      </c>
      <c r="D16" s="111"/>
      <c r="E16" s="111"/>
      <c r="F16" s="85">
        <v>130</v>
      </c>
      <c r="G16" s="85">
        <v>27</v>
      </c>
      <c r="H16" s="85">
        <v>67</v>
      </c>
      <c r="I16" s="85">
        <v>26.8</v>
      </c>
      <c r="J16" s="85">
        <v>127</v>
      </c>
      <c r="K16" s="85"/>
      <c r="L16" s="85"/>
      <c r="M16" s="85"/>
      <c r="N16" s="85"/>
      <c r="O16" s="85">
        <f t="shared" si="1"/>
        <v>67</v>
      </c>
      <c r="P16" s="50">
        <f t="shared" si="2"/>
        <v>0</v>
      </c>
      <c r="Q16" s="70">
        <f t="shared" si="3"/>
        <v>0</v>
      </c>
      <c r="R16" s="70">
        <f t="shared" si="4"/>
        <v>0</v>
      </c>
      <c r="S16" s="70">
        <f t="shared" si="5"/>
        <v>0</v>
      </c>
      <c r="T16" s="70">
        <f t="shared" si="6"/>
        <v>0</v>
      </c>
      <c r="U16" s="70">
        <f t="shared" si="7"/>
        <v>0</v>
      </c>
      <c r="V16" s="70">
        <f t="shared" si="8"/>
        <v>0</v>
      </c>
      <c r="W16" s="70">
        <f t="shared" si="9"/>
        <v>0</v>
      </c>
      <c r="X16" s="85"/>
      <c r="Y16" s="85">
        <v>0.4</v>
      </c>
      <c r="Z16" s="85">
        <v>0</v>
      </c>
      <c r="AA16" s="86">
        <f t="shared" si="10"/>
        <v>0</v>
      </c>
      <c r="AB16" s="86">
        <f t="shared" si="11"/>
        <v>0</v>
      </c>
      <c r="AC16" s="76"/>
      <c r="AD16" s="76"/>
      <c r="AE16" s="76"/>
      <c r="AF16" s="76"/>
      <c r="AG16" s="76"/>
      <c r="AH16" s="76"/>
    </row>
    <row r="17" spans="1:34" s="11" customFormat="1" ht="21" x14ac:dyDescent="0.25">
      <c r="A17" s="85" t="s">
        <v>241</v>
      </c>
      <c r="B17" s="85" t="s">
        <v>63</v>
      </c>
      <c r="C17" s="85" t="s">
        <v>67</v>
      </c>
      <c r="D17" s="111"/>
      <c r="E17" s="111"/>
      <c r="F17" s="85">
        <v>130</v>
      </c>
      <c r="G17" s="85">
        <v>40</v>
      </c>
      <c r="H17" s="85">
        <v>12</v>
      </c>
      <c r="I17" s="85">
        <v>4.8</v>
      </c>
      <c r="J17" s="85">
        <v>55.9</v>
      </c>
      <c r="K17" s="85">
        <v>50.8</v>
      </c>
      <c r="L17" s="85">
        <v>55</v>
      </c>
      <c r="M17" s="85">
        <v>22</v>
      </c>
      <c r="N17" s="85">
        <v>71.099999999999994</v>
      </c>
      <c r="O17" s="85">
        <f t="shared" si="1"/>
        <v>67</v>
      </c>
      <c r="P17" s="50">
        <f t="shared" si="2"/>
        <v>0</v>
      </c>
      <c r="Q17" s="70">
        <f t="shared" si="3"/>
        <v>0</v>
      </c>
      <c r="R17" s="70">
        <f t="shared" si="4"/>
        <v>0</v>
      </c>
      <c r="S17" s="70">
        <f t="shared" si="5"/>
        <v>0</v>
      </c>
      <c r="T17" s="70">
        <f t="shared" si="6"/>
        <v>0</v>
      </c>
      <c r="U17" s="70">
        <f t="shared" si="7"/>
        <v>0</v>
      </c>
      <c r="V17" s="70">
        <f t="shared" si="8"/>
        <v>0</v>
      </c>
      <c r="W17" s="70">
        <f t="shared" si="9"/>
        <v>0</v>
      </c>
      <c r="X17" s="85"/>
      <c r="Y17" s="85">
        <v>0.4</v>
      </c>
      <c r="Z17" s="85">
        <v>0</v>
      </c>
      <c r="AA17" s="86">
        <f t="shared" si="10"/>
        <v>0</v>
      </c>
      <c r="AB17" s="86">
        <f t="shared" si="11"/>
        <v>0</v>
      </c>
      <c r="AC17" s="76"/>
      <c r="AD17" s="76"/>
      <c r="AE17" s="76"/>
      <c r="AF17" s="76"/>
      <c r="AG17" s="76"/>
      <c r="AH17" s="76"/>
    </row>
    <row r="18" spans="1:34" s="11" customFormat="1" x14ac:dyDescent="0.25">
      <c r="A18" s="85" t="s">
        <v>239</v>
      </c>
      <c r="B18" s="85" t="s">
        <v>62</v>
      </c>
      <c r="C18" s="85" t="s">
        <v>56</v>
      </c>
      <c r="D18" s="111"/>
      <c r="E18" s="111"/>
      <c r="F18" s="85">
        <v>220</v>
      </c>
      <c r="G18" s="85">
        <v>3.2</v>
      </c>
      <c r="H18" s="85">
        <v>18</v>
      </c>
      <c r="I18" s="85">
        <v>7.2</v>
      </c>
      <c r="J18" s="85">
        <v>13.2</v>
      </c>
      <c r="K18" s="85">
        <v>23.5</v>
      </c>
      <c r="L18" s="85">
        <v>66</v>
      </c>
      <c r="M18" s="85">
        <v>26.4</v>
      </c>
      <c r="N18" s="85">
        <v>78.8</v>
      </c>
      <c r="O18" s="85">
        <f t="shared" si="1"/>
        <v>84</v>
      </c>
      <c r="P18" s="50">
        <f t="shared" si="2"/>
        <v>0</v>
      </c>
      <c r="Q18" s="70">
        <f t="shared" si="3"/>
        <v>0</v>
      </c>
      <c r="R18" s="70">
        <f t="shared" si="4"/>
        <v>0</v>
      </c>
      <c r="S18" s="70">
        <f t="shared" si="5"/>
        <v>0</v>
      </c>
      <c r="T18" s="70">
        <f t="shared" si="6"/>
        <v>0</v>
      </c>
      <c r="U18" s="70">
        <f t="shared" si="7"/>
        <v>0</v>
      </c>
      <c r="V18" s="70">
        <f t="shared" si="8"/>
        <v>0</v>
      </c>
      <c r="W18" s="70">
        <f t="shared" si="9"/>
        <v>0</v>
      </c>
      <c r="X18" s="85"/>
      <c r="Y18" s="85">
        <v>0.6</v>
      </c>
      <c r="Z18" s="85">
        <v>0.6</v>
      </c>
      <c r="AA18" s="86">
        <f t="shared" si="10"/>
        <v>0</v>
      </c>
      <c r="AB18" s="86">
        <f t="shared" si="11"/>
        <v>0</v>
      </c>
      <c r="AC18" s="76"/>
      <c r="AD18" s="76"/>
      <c r="AE18" s="76"/>
      <c r="AF18" s="76"/>
      <c r="AG18" s="76"/>
      <c r="AH18" s="76"/>
    </row>
    <row r="19" spans="1:34" s="11" customFormat="1" x14ac:dyDescent="0.25">
      <c r="A19" s="85" t="s">
        <v>239</v>
      </c>
      <c r="B19" s="85" t="s">
        <v>62</v>
      </c>
      <c r="C19" s="85" t="s">
        <v>127</v>
      </c>
      <c r="D19" s="111"/>
      <c r="E19" s="111"/>
      <c r="F19" s="85">
        <v>220</v>
      </c>
      <c r="G19" s="85"/>
      <c r="H19" s="85"/>
      <c r="I19" s="85"/>
      <c r="J19" s="85"/>
      <c r="K19" s="85">
        <v>26.7</v>
      </c>
      <c r="L19" s="85">
        <v>84</v>
      </c>
      <c r="M19" s="85">
        <v>33.6</v>
      </c>
      <c r="N19" s="85">
        <v>92</v>
      </c>
      <c r="O19" s="85">
        <f t="shared" si="1"/>
        <v>84</v>
      </c>
      <c r="P19" s="50">
        <f t="shared" si="2"/>
        <v>0</v>
      </c>
      <c r="Q19" s="70">
        <f t="shared" si="3"/>
        <v>0</v>
      </c>
      <c r="R19" s="70">
        <f t="shared" si="4"/>
        <v>0</v>
      </c>
      <c r="S19" s="70">
        <f t="shared" si="5"/>
        <v>0</v>
      </c>
      <c r="T19" s="70">
        <f t="shared" si="6"/>
        <v>0</v>
      </c>
      <c r="U19" s="70">
        <f t="shared" si="7"/>
        <v>0</v>
      </c>
      <c r="V19" s="70">
        <f t="shared" si="8"/>
        <v>0</v>
      </c>
      <c r="W19" s="70">
        <f t="shared" si="9"/>
        <v>0</v>
      </c>
      <c r="X19" s="85"/>
      <c r="Y19" s="85">
        <v>0.6</v>
      </c>
      <c r="Z19" s="85">
        <v>0.6</v>
      </c>
      <c r="AA19" s="86">
        <f t="shared" si="10"/>
        <v>0</v>
      </c>
      <c r="AB19" s="86">
        <f t="shared" si="11"/>
        <v>0</v>
      </c>
      <c r="AC19" s="76"/>
      <c r="AD19" s="76"/>
      <c r="AE19" s="76"/>
      <c r="AF19" s="76"/>
      <c r="AG19" s="76"/>
      <c r="AH19" s="76"/>
    </row>
    <row r="20" spans="1:34" s="11" customFormat="1" x14ac:dyDescent="0.25">
      <c r="A20" s="85" t="s">
        <v>239</v>
      </c>
      <c r="B20" s="85" t="s">
        <v>62</v>
      </c>
      <c r="C20" s="85" t="s">
        <v>59</v>
      </c>
      <c r="D20" s="111"/>
      <c r="E20" s="111"/>
      <c r="F20" s="85">
        <v>220</v>
      </c>
      <c r="G20" s="85">
        <v>2.8</v>
      </c>
      <c r="H20" s="85">
        <v>12</v>
      </c>
      <c r="I20" s="85">
        <v>4.8</v>
      </c>
      <c r="J20" s="85">
        <v>10.6</v>
      </c>
      <c r="K20" s="85">
        <v>24</v>
      </c>
      <c r="L20" s="85">
        <v>72</v>
      </c>
      <c r="M20" s="85">
        <v>28.8</v>
      </c>
      <c r="N20" s="85">
        <v>81.400000000000006</v>
      </c>
      <c r="O20" s="85">
        <f t="shared" si="1"/>
        <v>84</v>
      </c>
      <c r="P20" s="50">
        <f t="shared" si="2"/>
        <v>0</v>
      </c>
      <c r="Q20" s="70">
        <f t="shared" si="3"/>
        <v>0</v>
      </c>
      <c r="R20" s="70">
        <f t="shared" si="4"/>
        <v>0</v>
      </c>
      <c r="S20" s="70">
        <f t="shared" si="5"/>
        <v>0</v>
      </c>
      <c r="T20" s="70">
        <f t="shared" si="6"/>
        <v>0</v>
      </c>
      <c r="U20" s="70">
        <f t="shared" si="7"/>
        <v>0</v>
      </c>
      <c r="V20" s="70">
        <f t="shared" si="8"/>
        <v>0</v>
      </c>
      <c r="W20" s="70">
        <f t="shared" si="9"/>
        <v>0</v>
      </c>
      <c r="X20" s="85"/>
      <c r="Y20" s="85">
        <v>0.6</v>
      </c>
      <c r="Z20" s="85">
        <v>0.6</v>
      </c>
      <c r="AA20" s="86">
        <f t="shared" si="10"/>
        <v>0</v>
      </c>
      <c r="AB20" s="86">
        <f t="shared" si="11"/>
        <v>0</v>
      </c>
      <c r="AC20" s="76"/>
      <c r="AD20" s="76"/>
      <c r="AE20" s="76"/>
      <c r="AF20" s="76"/>
      <c r="AG20" s="76"/>
      <c r="AH20" s="76"/>
    </row>
    <row r="21" spans="1:34" s="11" customFormat="1" ht="21" x14ac:dyDescent="0.25">
      <c r="A21" s="85" t="s">
        <v>239</v>
      </c>
      <c r="B21" s="85" t="s">
        <v>62</v>
      </c>
      <c r="C21" s="85" t="s">
        <v>128</v>
      </c>
      <c r="D21" s="111"/>
      <c r="E21" s="111"/>
      <c r="F21" s="85">
        <v>220</v>
      </c>
      <c r="G21" s="85"/>
      <c r="H21" s="85"/>
      <c r="I21" s="85"/>
      <c r="J21" s="85"/>
      <c r="K21" s="85">
        <v>26.8</v>
      </c>
      <c r="L21" s="85">
        <v>84</v>
      </c>
      <c r="M21" s="85">
        <v>33.6</v>
      </c>
      <c r="N21" s="85">
        <v>92</v>
      </c>
      <c r="O21" s="85">
        <f t="shared" si="1"/>
        <v>84</v>
      </c>
      <c r="P21" s="50">
        <f t="shared" si="2"/>
        <v>0</v>
      </c>
      <c r="Q21" s="70">
        <f t="shared" si="3"/>
        <v>0</v>
      </c>
      <c r="R21" s="70">
        <f t="shared" si="4"/>
        <v>0</v>
      </c>
      <c r="S21" s="70">
        <f t="shared" si="5"/>
        <v>0</v>
      </c>
      <c r="T21" s="70">
        <f t="shared" si="6"/>
        <v>0</v>
      </c>
      <c r="U21" s="70">
        <f t="shared" si="7"/>
        <v>0</v>
      </c>
      <c r="V21" s="70">
        <f t="shared" si="8"/>
        <v>0</v>
      </c>
      <c r="W21" s="70">
        <f t="shared" si="9"/>
        <v>0</v>
      </c>
      <c r="X21" s="85"/>
      <c r="Y21" s="85">
        <v>0.6</v>
      </c>
      <c r="Z21" s="85">
        <v>0.6</v>
      </c>
      <c r="AA21" s="86">
        <f t="shared" si="10"/>
        <v>0</v>
      </c>
      <c r="AB21" s="86">
        <f t="shared" si="11"/>
        <v>0</v>
      </c>
      <c r="AC21" s="76"/>
      <c r="AD21" s="76"/>
      <c r="AE21" s="76"/>
      <c r="AF21" s="76"/>
      <c r="AG21" s="76"/>
      <c r="AH21" s="76"/>
    </row>
    <row r="22" spans="1:34" s="11" customFormat="1" ht="21" x14ac:dyDescent="0.25">
      <c r="A22" s="85" t="s">
        <v>239</v>
      </c>
      <c r="B22" s="85" t="s">
        <v>62</v>
      </c>
      <c r="C22" s="85" t="s">
        <v>46</v>
      </c>
      <c r="D22" s="111"/>
      <c r="E22" s="111"/>
      <c r="F22" s="85">
        <v>220</v>
      </c>
      <c r="G22" s="85">
        <v>16</v>
      </c>
      <c r="H22" s="85">
        <v>43</v>
      </c>
      <c r="I22" s="85">
        <v>17.2</v>
      </c>
      <c r="J22" s="85">
        <v>49.2</v>
      </c>
      <c r="K22" s="85">
        <v>13.9</v>
      </c>
      <c r="L22" s="85">
        <v>41</v>
      </c>
      <c r="M22" s="85">
        <v>16.399999999999999</v>
      </c>
      <c r="N22" s="85">
        <v>42.8</v>
      </c>
      <c r="O22" s="85">
        <f t="shared" si="1"/>
        <v>84</v>
      </c>
      <c r="P22" s="50">
        <f t="shared" si="2"/>
        <v>0</v>
      </c>
      <c r="Q22" s="70">
        <f t="shared" si="3"/>
        <v>0</v>
      </c>
      <c r="R22" s="70">
        <f t="shared" si="4"/>
        <v>0</v>
      </c>
      <c r="S22" s="70">
        <f t="shared" si="5"/>
        <v>0</v>
      </c>
      <c r="T22" s="70">
        <f t="shared" si="6"/>
        <v>0</v>
      </c>
      <c r="U22" s="70">
        <f t="shared" si="7"/>
        <v>0</v>
      </c>
      <c r="V22" s="70">
        <f t="shared" si="8"/>
        <v>0</v>
      </c>
      <c r="W22" s="70">
        <f t="shared" si="9"/>
        <v>0</v>
      </c>
      <c r="X22" s="85"/>
      <c r="Y22" s="85">
        <v>0.6</v>
      </c>
      <c r="Z22" s="85">
        <v>0.6</v>
      </c>
      <c r="AA22" s="86">
        <f t="shared" si="10"/>
        <v>0</v>
      </c>
      <c r="AB22" s="86">
        <f t="shared" si="11"/>
        <v>0</v>
      </c>
      <c r="AC22" s="76"/>
      <c r="AD22" s="76"/>
      <c r="AE22" s="76"/>
      <c r="AF22" s="76"/>
      <c r="AG22" s="76"/>
      <c r="AH22" s="76"/>
    </row>
    <row r="23" spans="1:34" s="11" customFormat="1" ht="21" x14ac:dyDescent="0.25">
      <c r="A23" s="85" t="s">
        <v>239</v>
      </c>
      <c r="B23" s="85" t="s">
        <v>62</v>
      </c>
      <c r="C23" s="85" t="s">
        <v>47</v>
      </c>
      <c r="D23" s="111"/>
      <c r="E23" s="111"/>
      <c r="F23" s="85">
        <v>220</v>
      </c>
      <c r="G23" s="85">
        <v>9</v>
      </c>
      <c r="H23" s="85">
        <v>41</v>
      </c>
      <c r="I23" s="85">
        <v>16.399999999999999</v>
      </c>
      <c r="J23" s="85">
        <v>27.1</v>
      </c>
      <c r="K23" s="85">
        <v>21.5</v>
      </c>
      <c r="L23" s="85">
        <v>43</v>
      </c>
      <c r="M23" s="85">
        <v>17.2</v>
      </c>
      <c r="N23" s="85">
        <v>54.9</v>
      </c>
      <c r="O23" s="85">
        <f t="shared" si="1"/>
        <v>84</v>
      </c>
      <c r="P23" s="50">
        <f t="shared" si="2"/>
        <v>0</v>
      </c>
      <c r="Q23" s="70">
        <f t="shared" si="3"/>
        <v>0</v>
      </c>
      <c r="R23" s="70">
        <f t="shared" si="4"/>
        <v>0</v>
      </c>
      <c r="S23" s="70">
        <f t="shared" si="5"/>
        <v>0</v>
      </c>
      <c r="T23" s="70">
        <f t="shared" si="6"/>
        <v>0</v>
      </c>
      <c r="U23" s="70">
        <f t="shared" si="7"/>
        <v>0</v>
      </c>
      <c r="V23" s="70">
        <f t="shared" si="8"/>
        <v>0</v>
      </c>
      <c r="W23" s="70">
        <f t="shared" si="9"/>
        <v>0</v>
      </c>
      <c r="X23" s="85"/>
      <c r="Y23" s="85">
        <v>0.6</v>
      </c>
      <c r="Z23" s="85">
        <v>0.6</v>
      </c>
      <c r="AA23" s="86">
        <f t="shared" si="10"/>
        <v>0</v>
      </c>
      <c r="AB23" s="86">
        <f t="shared" si="11"/>
        <v>0</v>
      </c>
      <c r="AC23" s="76"/>
      <c r="AD23" s="76"/>
      <c r="AE23" s="76"/>
      <c r="AF23" s="76"/>
      <c r="AG23" s="76"/>
      <c r="AH23" s="76"/>
    </row>
    <row r="24" spans="1:34" s="11" customFormat="1" x14ac:dyDescent="0.25">
      <c r="A24" s="85" t="s">
        <v>239</v>
      </c>
      <c r="B24" s="85" t="s">
        <v>62</v>
      </c>
      <c r="C24" s="85" t="s">
        <v>45</v>
      </c>
      <c r="D24" s="111"/>
      <c r="E24" s="111"/>
      <c r="F24" s="85">
        <v>220</v>
      </c>
      <c r="G24" s="85">
        <v>26</v>
      </c>
      <c r="H24" s="85">
        <v>84</v>
      </c>
      <c r="I24" s="85">
        <v>33.6</v>
      </c>
      <c r="J24" s="85">
        <v>92</v>
      </c>
      <c r="K24" s="85"/>
      <c r="L24" s="85"/>
      <c r="M24" s="85"/>
      <c r="N24" s="85"/>
      <c r="O24" s="85">
        <f t="shared" si="1"/>
        <v>84</v>
      </c>
      <c r="P24" s="50">
        <f t="shared" si="2"/>
        <v>0</v>
      </c>
      <c r="Q24" s="70">
        <f t="shared" si="3"/>
        <v>0</v>
      </c>
      <c r="R24" s="70">
        <f t="shared" si="4"/>
        <v>0</v>
      </c>
      <c r="S24" s="70">
        <f t="shared" si="5"/>
        <v>0</v>
      </c>
      <c r="T24" s="70">
        <f t="shared" si="6"/>
        <v>0</v>
      </c>
      <c r="U24" s="70">
        <f t="shared" si="7"/>
        <v>0</v>
      </c>
      <c r="V24" s="70">
        <f t="shared" si="8"/>
        <v>0</v>
      </c>
      <c r="W24" s="70">
        <f t="shared" si="9"/>
        <v>0</v>
      </c>
      <c r="X24" s="85"/>
      <c r="Y24" s="85">
        <v>0.6</v>
      </c>
      <c r="Z24" s="85">
        <v>0.6</v>
      </c>
      <c r="AA24" s="86">
        <f t="shared" si="10"/>
        <v>0</v>
      </c>
      <c r="AB24" s="86">
        <f t="shared" si="11"/>
        <v>0</v>
      </c>
      <c r="AC24" s="76"/>
      <c r="AD24" s="76"/>
      <c r="AE24" s="76"/>
      <c r="AF24" s="76"/>
      <c r="AG24" s="76"/>
      <c r="AH24" s="76"/>
    </row>
    <row r="25" spans="1:34" s="11" customFormat="1" x14ac:dyDescent="0.25">
      <c r="A25" s="85" t="s">
        <v>239</v>
      </c>
      <c r="B25" s="85" t="s">
        <v>62</v>
      </c>
      <c r="C25" s="85" t="s">
        <v>57</v>
      </c>
      <c r="D25" s="111"/>
      <c r="E25" s="111"/>
      <c r="F25" s="85">
        <v>220</v>
      </c>
      <c r="G25" s="85">
        <v>26</v>
      </c>
      <c r="H25" s="85">
        <v>84</v>
      </c>
      <c r="I25" s="85">
        <v>33.6</v>
      </c>
      <c r="J25" s="85">
        <v>92</v>
      </c>
      <c r="K25" s="85"/>
      <c r="L25" s="85"/>
      <c r="M25" s="85"/>
      <c r="N25" s="85"/>
      <c r="O25" s="85">
        <f t="shared" si="1"/>
        <v>84</v>
      </c>
      <c r="P25" s="50">
        <f t="shared" si="2"/>
        <v>0</v>
      </c>
      <c r="Q25" s="70">
        <f t="shared" si="3"/>
        <v>0</v>
      </c>
      <c r="R25" s="70">
        <f t="shared" si="4"/>
        <v>0</v>
      </c>
      <c r="S25" s="70">
        <f t="shared" si="5"/>
        <v>0</v>
      </c>
      <c r="T25" s="70">
        <f t="shared" si="6"/>
        <v>0</v>
      </c>
      <c r="U25" s="70">
        <f t="shared" si="7"/>
        <v>0</v>
      </c>
      <c r="V25" s="70">
        <f t="shared" si="8"/>
        <v>0</v>
      </c>
      <c r="W25" s="70">
        <f t="shared" si="9"/>
        <v>0</v>
      </c>
      <c r="X25" s="85"/>
      <c r="Y25" s="85">
        <v>0.6</v>
      </c>
      <c r="Z25" s="85">
        <v>0.6</v>
      </c>
      <c r="AA25" s="86">
        <f t="shared" si="10"/>
        <v>0</v>
      </c>
      <c r="AB25" s="86">
        <f t="shared" si="11"/>
        <v>0</v>
      </c>
      <c r="AC25" s="76"/>
      <c r="AD25" s="76"/>
      <c r="AE25" s="76"/>
      <c r="AF25" s="76"/>
      <c r="AG25" s="76"/>
      <c r="AH25" s="76"/>
    </row>
    <row r="26" spans="1:34" s="11" customFormat="1" x14ac:dyDescent="0.25">
      <c r="A26" s="85" t="s">
        <v>239</v>
      </c>
      <c r="B26" s="85" t="s">
        <v>62</v>
      </c>
      <c r="C26" s="85" t="s">
        <v>49</v>
      </c>
      <c r="D26" s="111"/>
      <c r="E26" s="111"/>
      <c r="F26" s="85">
        <v>220</v>
      </c>
      <c r="G26" s="85">
        <v>2.8</v>
      </c>
      <c r="H26" s="85">
        <v>12</v>
      </c>
      <c r="I26" s="85">
        <v>4.8</v>
      </c>
      <c r="J26" s="85">
        <v>8.6</v>
      </c>
      <c r="K26" s="85">
        <v>24</v>
      </c>
      <c r="L26" s="85">
        <v>72</v>
      </c>
      <c r="M26" s="85">
        <v>28.8</v>
      </c>
      <c r="N26" s="85">
        <v>83.4</v>
      </c>
      <c r="O26" s="85">
        <f t="shared" si="1"/>
        <v>84</v>
      </c>
      <c r="P26" s="50">
        <f t="shared" si="2"/>
        <v>0</v>
      </c>
      <c r="Q26" s="70">
        <f t="shared" si="3"/>
        <v>0</v>
      </c>
      <c r="R26" s="70">
        <f t="shared" si="4"/>
        <v>0</v>
      </c>
      <c r="S26" s="70">
        <f t="shared" si="5"/>
        <v>0</v>
      </c>
      <c r="T26" s="70">
        <f t="shared" si="6"/>
        <v>0</v>
      </c>
      <c r="U26" s="70">
        <f t="shared" si="7"/>
        <v>0</v>
      </c>
      <c r="V26" s="70">
        <f t="shared" si="8"/>
        <v>0</v>
      </c>
      <c r="W26" s="70">
        <f t="shared" si="9"/>
        <v>0</v>
      </c>
      <c r="X26" s="85"/>
      <c r="Y26" s="85">
        <v>0.6</v>
      </c>
      <c r="Z26" s="85">
        <v>0.6</v>
      </c>
      <c r="AA26" s="86">
        <f t="shared" si="10"/>
        <v>0</v>
      </c>
      <c r="AB26" s="86">
        <f t="shared" si="11"/>
        <v>0</v>
      </c>
      <c r="AC26" s="76"/>
      <c r="AD26" s="76"/>
      <c r="AE26" s="76"/>
      <c r="AF26" s="76"/>
      <c r="AG26" s="76"/>
      <c r="AH26" s="76"/>
    </row>
    <row r="27" spans="1:34" s="11" customFormat="1" ht="21" x14ac:dyDescent="0.25">
      <c r="A27" s="85" t="s">
        <v>239</v>
      </c>
      <c r="B27" s="85" t="s">
        <v>62</v>
      </c>
      <c r="C27" s="85" t="s">
        <v>126</v>
      </c>
      <c r="D27" s="111"/>
      <c r="E27" s="111"/>
      <c r="F27" s="85">
        <v>220</v>
      </c>
      <c r="G27" s="85"/>
      <c r="H27" s="85"/>
      <c r="I27" s="85"/>
      <c r="J27" s="85"/>
      <c r="K27" s="85">
        <v>26.8</v>
      </c>
      <c r="L27" s="85">
        <v>84</v>
      </c>
      <c r="M27" s="85">
        <v>33.6</v>
      </c>
      <c r="N27" s="85">
        <v>92</v>
      </c>
      <c r="O27" s="85">
        <f t="shared" si="1"/>
        <v>84</v>
      </c>
      <c r="P27" s="50">
        <f t="shared" si="2"/>
        <v>0</v>
      </c>
      <c r="Q27" s="70">
        <f t="shared" si="3"/>
        <v>0</v>
      </c>
      <c r="R27" s="70">
        <f t="shared" si="4"/>
        <v>0</v>
      </c>
      <c r="S27" s="70">
        <f t="shared" si="5"/>
        <v>0</v>
      </c>
      <c r="T27" s="70">
        <f t="shared" si="6"/>
        <v>0</v>
      </c>
      <c r="U27" s="70">
        <f t="shared" si="7"/>
        <v>0</v>
      </c>
      <c r="V27" s="70">
        <f t="shared" si="8"/>
        <v>0</v>
      </c>
      <c r="W27" s="70">
        <f t="shared" si="9"/>
        <v>0</v>
      </c>
      <c r="X27" s="85"/>
      <c r="Y27" s="85">
        <v>0.6</v>
      </c>
      <c r="Z27" s="85">
        <v>0.6</v>
      </c>
      <c r="AA27" s="86">
        <f t="shared" si="10"/>
        <v>0</v>
      </c>
      <c r="AB27" s="86">
        <f t="shared" si="11"/>
        <v>0</v>
      </c>
      <c r="AC27" s="76"/>
      <c r="AD27" s="76"/>
      <c r="AE27" s="76"/>
      <c r="AF27" s="76"/>
      <c r="AG27" s="76"/>
      <c r="AH27" s="76"/>
    </row>
    <row r="28" spans="1:34" s="11" customFormat="1" ht="21" x14ac:dyDescent="0.25">
      <c r="A28" s="85" t="s">
        <v>239</v>
      </c>
      <c r="B28" s="85" t="s">
        <v>62</v>
      </c>
      <c r="C28" s="85" t="s">
        <v>58</v>
      </c>
      <c r="D28" s="111"/>
      <c r="E28" s="111"/>
      <c r="F28" s="85">
        <v>220</v>
      </c>
      <c r="G28" s="85">
        <v>13</v>
      </c>
      <c r="H28" s="85">
        <v>43</v>
      </c>
      <c r="I28" s="85">
        <v>17.2</v>
      </c>
      <c r="J28" s="85">
        <v>29.6</v>
      </c>
      <c r="K28" s="85">
        <v>27.4</v>
      </c>
      <c r="L28" s="85">
        <v>41</v>
      </c>
      <c r="M28" s="85">
        <v>16.399999999999999</v>
      </c>
      <c r="N28" s="85">
        <v>62.4</v>
      </c>
      <c r="O28" s="85">
        <f t="shared" si="1"/>
        <v>84</v>
      </c>
      <c r="P28" s="50">
        <f t="shared" si="2"/>
        <v>0</v>
      </c>
      <c r="Q28" s="70">
        <f t="shared" si="3"/>
        <v>0</v>
      </c>
      <c r="R28" s="70">
        <f t="shared" si="4"/>
        <v>0</v>
      </c>
      <c r="S28" s="70">
        <f t="shared" si="5"/>
        <v>0</v>
      </c>
      <c r="T28" s="70">
        <f t="shared" si="6"/>
        <v>0</v>
      </c>
      <c r="U28" s="70">
        <f t="shared" si="7"/>
        <v>0</v>
      </c>
      <c r="V28" s="70">
        <f t="shared" si="8"/>
        <v>0</v>
      </c>
      <c r="W28" s="70">
        <f t="shared" si="9"/>
        <v>0</v>
      </c>
      <c r="X28" s="85"/>
      <c r="Y28" s="85">
        <v>0.6</v>
      </c>
      <c r="Z28" s="85">
        <v>0.6</v>
      </c>
      <c r="AA28" s="86">
        <f t="shared" si="10"/>
        <v>0</v>
      </c>
      <c r="AB28" s="86">
        <f t="shared" si="11"/>
        <v>0</v>
      </c>
      <c r="AC28" s="76"/>
      <c r="AD28" s="76"/>
      <c r="AE28" s="76"/>
      <c r="AF28" s="76"/>
      <c r="AG28" s="76"/>
      <c r="AH28" s="76"/>
    </row>
    <row r="29" spans="1:34" s="11" customFormat="1" ht="21" x14ac:dyDescent="0.25">
      <c r="A29" s="85" t="s">
        <v>239</v>
      </c>
      <c r="B29" s="85" t="s">
        <v>142</v>
      </c>
      <c r="C29" s="85" t="s">
        <v>56</v>
      </c>
      <c r="D29" s="111"/>
      <c r="E29" s="111"/>
      <c r="F29" s="85">
        <v>220</v>
      </c>
      <c r="G29" s="85">
        <v>3.2</v>
      </c>
      <c r="H29" s="85">
        <v>26</v>
      </c>
      <c r="I29" s="85">
        <v>10.4</v>
      </c>
      <c r="J29" s="85">
        <v>15.2</v>
      </c>
      <c r="K29" s="85">
        <v>23.5</v>
      </c>
      <c r="L29" s="85">
        <v>94</v>
      </c>
      <c r="M29" s="85">
        <v>37.6</v>
      </c>
      <c r="N29" s="85">
        <v>108.8</v>
      </c>
      <c r="O29" s="85">
        <f t="shared" si="1"/>
        <v>120</v>
      </c>
      <c r="P29" s="50">
        <f t="shared" si="2"/>
        <v>0</v>
      </c>
      <c r="Q29" s="70">
        <f t="shared" si="3"/>
        <v>0</v>
      </c>
      <c r="R29" s="70">
        <f t="shared" si="4"/>
        <v>0</v>
      </c>
      <c r="S29" s="70">
        <f t="shared" si="5"/>
        <v>0</v>
      </c>
      <c r="T29" s="70">
        <f t="shared" si="6"/>
        <v>0</v>
      </c>
      <c r="U29" s="70">
        <f t="shared" si="7"/>
        <v>0</v>
      </c>
      <c r="V29" s="70">
        <f t="shared" si="8"/>
        <v>0</v>
      </c>
      <c r="W29" s="70">
        <f t="shared" si="9"/>
        <v>0</v>
      </c>
      <c r="X29" s="85"/>
      <c r="Y29" s="85">
        <v>0.6</v>
      </c>
      <c r="Z29" s="85">
        <v>0.6</v>
      </c>
      <c r="AA29" s="86">
        <f t="shared" si="10"/>
        <v>0</v>
      </c>
      <c r="AB29" s="86">
        <f t="shared" si="11"/>
        <v>0</v>
      </c>
      <c r="AC29" s="76"/>
      <c r="AD29" s="76"/>
      <c r="AE29" s="76"/>
      <c r="AF29" s="76"/>
      <c r="AG29" s="76"/>
      <c r="AH29" s="76"/>
    </row>
    <row r="30" spans="1:34" s="11" customFormat="1" ht="21" x14ac:dyDescent="0.25">
      <c r="A30" s="85" t="s">
        <v>239</v>
      </c>
      <c r="B30" s="85" t="s">
        <v>142</v>
      </c>
      <c r="C30" s="85" t="s">
        <v>127</v>
      </c>
      <c r="D30" s="111"/>
      <c r="E30" s="111"/>
      <c r="F30" s="85">
        <v>220</v>
      </c>
      <c r="G30" s="85"/>
      <c r="H30" s="85"/>
      <c r="I30" s="85"/>
      <c r="J30" s="85"/>
      <c r="K30" s="85">
        <v>26.7</v>
      </c>
      <c r="L30" s="85">
        <v>120</v>
      </c>
      <c r="M30" s="85">
        <v>48</v>
      </c>
      <c r="N30" s="85">
        <v>124</v>
      </c>
      <c r="O30" s="85">
        <f t="shared" si="1"/>
        <v>120</v>
      </c>
      <c r="P30" s="50">
        <f t="shared" si="2"/>
        <v>0</v>
      </c>
      <c r="Q30" s="70">
        <f t="shared" si="3"/>
        <v>0</v>
      </c>
      <c r="R30" s="70">
        <f t="shared" si="4"/>
        <v>0</v>
      </c>
      <c r="S30" s="70">
        <f t="shared" si="5"/>
        <v>0</v>
      </c>
      <c r="T30" s="70">
        <f t="shared" si="6"/>
        <v>0</v>
      </c>
      <c r="U30" s="70">
        <f t="shared" si="7"/>
        <v>0</v>
      </c>
      <c r="V30" s="70">
        <f t="shared" si="8"/>
        <v>0</v>
      </c>
      <c r="W30" s="70">
        <f t="shared" si="9"/>
        <v>0</v>
      </c>
      <c r="X30" s="85"/>
      <c r="Y30" s="85">
        <v>0.6</v>
      </c>
      <c r="Z30" s="85">
        <v>0.6</v>
      </c>
      <c r="AA30" s="86">
        <f t="shared" si="10"/>
        <v>0</v>
      </c>
      <c r="AB30" s="86">
        <f t="shared" si="11"/>
        <v>0</v>
      </c>
      <c r="AC30" s="76"/>
      <c r="AD30" s="76"/>
      <c r="AE30" s="76"/>
      <c r="AF30" s="76"/>
      <c r="AG30" s="76"/>
      <c r="AH30" s="76"/>
    </row>
    <row r="31" spans="1:34" s="11" customFormat="1" ht="21" x14ac:dyDescent="0.25">
      <c r="A31" s="85" t="s">
        <v>239</v>
      </c>
      <c r="B31" s="85" t="s">
        <v>142</v>
      </c>
      <c r="C31" s="85" t="s">
        <v>59</v>
      </c>
      <c r="D31" s="111"/>
      <c r="E31" s="111"/>
      <c r="F31" s="85">
        <v>220</v>
      </c>
      <c r="G31" s="85">
        <v>2.8</v>
      </c>
      <c r="H31" s="85">
        <v>17</v>
      </c>
      <c r="I31" s="85">
        <v>6.8</v>
      </c>
      <c r="J31" s="85">
        <v>14.7</v>
      </c>
      <c r="K31" s="85">
        <v>24</v>
      </c>
      <c r="L31" s="85">
        <v>103</v>
      </c>
      <c r="M31" s="85">
        <v>41.2</v>
      </c>
      <c r="N31" s="85">
        <v>112.3</v>
      </c>
      <c r="O31" s="85">
        <f t="shared" si="1"/>
        <v>120</v>
      </c>
      <c r="P31" s="50">
        <f t="shared" si="2"/>
        <v>0</v>
      </c>
      <c r="Q31" s="70">
        <f t="shared" si="3"/>
        <v>0</v>
      </c>
      <c r="R31" s="70">
        <f t="shared" si="4"/>
        <v>0</v>
      </c>
      <c r="S31" s="70">
        <f t="shared" si="5"/>
        <v>0</v>
      </c>
      <c r="T31" s="70">
        <f t="shared" si="6"/>
        <v>0</v>
      </c>
      <c r="U31" s="70">
        <f t="shared" si="7"/>
        <v>0</v>
      </c>
      <c r="V31" s="70">
        <f t="shared" si="8"/>
        <v>0</v>
      </c>
      <c r="W31" s="70">
        <f t="shared" si="9"/>
        <v>0</v>
      </c>
      <c r="X31" s="85"/>
      <c r="Y31" s="85">
        <v>0.6</v>
      </c>
      <c r="Z31" s="85">
        <v>0.6</v>
      </c>
      <c r="AA31" s="86">
        <f t="shared" si="10"/>
        <v>0</v>
      </c>
      <c r="AB31" s="86">
        <f t="shared" si="11"/>
        <v>0</v>
      </c>
      <c r="AC31" s="76"/>
      <c r="AD31" s="76"/>
      <c r="AE31" s="76"/>
      <c r="AF31" s="76"/>
      <c r="AG31" s="76"/>
      <c r="AH31" s="76"/>
    </row>
    <row r="32" spans="1:34" s="11" customFormat="1" ht="21" x14ac:dyDescent="0.25">
      <c r="A32" s="85" t="s">
        <v>239</v>
      </c>
      <c r="B32" s="85" t="s">
        <v>142</v>
      </c>
      <c r="C32" s="85" t="s">
        <v>128</v>
      </c>
      <c r="D32" s="111"/>
      <c r="E32" s="111"/>
      <c r="F32" s="85">
        <v>220</v>
      </c>
      <c r="G32" s="85"/>
      <c r="H32" s="85"/>
      <c r="I32" s="85"/>
      <c r="J32" s="85"/>
      <c r="K32" s="85">
        <v>26.8</v>
      </c>
      <c r="L32" s="85">
        <v>120</v>
      </c>
      <c r="M32" s="85">
        <v>48</v>
      </c>
      <c r="N32" s="85">
        <v>127</v>
      </c>
      <c r="O32" s="85">
        <f t="shared" si="1"/>
        <v>120</v>
      </c>
      <c r="P32" s="50">
        <f t="shared" si="2"/>
        <v>0</v>
      </c>
      <c r="Q32" s="70">
        <f t="shared" si="3"/>
        <v>0</v>
      </c>
      <c r="R32" s="70">
        <f t="shared" si="4"/>
        <v>0</v>
      </c>
      <c r="S32" s="70">
        <f t="shared" si="5"/>
        <v>0</v>
      </c>
      <c r="T32" s="70">
        <f t="shared" si="6"/>
        <v>0</v>
      </c>
      <c r="U32" s="70">
        <f t="shared" si="7"/>
        <v>0</v>
      </c>
      <c r="V32" s="70">
        <f t="shared" si="8"/>
        <v>0</v>
      </c>
      <c r="W32" s="70">
        <f t="shared" si="9"/>
        <v>0</v>
      </c>
      <c r="X32" s="85"/>
      <c r="Y32" s="85">
        <v>0.6</v>
      </c>
      <c r="Z32" s="85">
        <v>0.6</v>
      </c>
      <c r="AA32" s="86">
        <f t="shared" si="10"/>
        <v>0</v>
      </c>
      <c r="AB32" s="86">
        <f t="shared" si="11"/>
        <v>0</v>
      </c>
      <c r="AC32" s="76"/>
      <c r="AD32" s="76"/>
      <c r="AE32" s="76"/>
      <c r="AF32" s="76"/>
      <c r="AG32" s="76"/>
      <c r="AH32" s="76"/>
    </row>
    <row r="33" spans="1:34" s="11" customFormat="1" ht="21" x14ac:dyDescent="0.25">
      <c r="A33" s="85" t="s">
        <v>239</v>
      </c>
      <c r="B33" s="85" t="s">
        <v>142</v>
      </c>
      <c r="C33" s="85" t="s">
        <v>46</v>
      </c>
      <c r="D33" s="111"/>
      <c r="E33" s="111"/>
      <c r="F33" s="85">
        <v>220</v>
      </c>
      <c r="G33" s="85">
        <v>16</v>
      </c>
      <c r="H33" s="85">
        <v>61</v>
      </c>
      <c r="I33" s="85">
        <v>24.4</v>
      </c>
      <c r="J33" s="85">
        <v>68</v>
      </c>
      <c r="K33" s="85">
        <v>13.9</v>
      </c>
      <c r="L33" s="85">
        <v>59</v>
      </c>
      <c r="M33" s="85">
        <v>23.6</v>
      </c>
      <c r="N33" s="85">
        <v>59</v>
      </c>
      <c r="O33" s="85">
        <f t="shared" si="1"/>
        <v>120</v>
      </c>
      <c r="P33" s="50">
        <f t="shared" si="2"/>
        <v>0</v>
      </c>
      <c r="Q33" s="70">
        <f t="shared" si="3"/>
        <v>0</v>
      </c>
      <c r="R33" s="70">
        <f t="shared" si="4"/>
        <v>0</v>
      </c>
      <c r="S33" s="70">
        <f t="shared" si="5"/>
        <v>0</v>
      </c>
      <c r="T33" s="70">
        <f t="shared" si="6"/>
        <v>0</v>
      </c>
      <c r="U33" s="70">
        <f t="shared" si="7"/>
        <v>0</v>
      </c>
      <c r="V33" s="70">
        <f t="shared" si="8"/>
        <v>0</v>
      </c>
      <c r="W33" s="70">
        <f t="shared" si="9"/>
        <v>0</v>
      </c>
      <c r="X33" s="85"/>
      <c r="Y33" s="85">
        <v>0.6</v>
      </c>
      <c r="Z33" s="85">
        <v>0.6</v>
      </c>
      <c r="AA33" s="86">
        <f t="shared" si="10"/>
        <v>0</v>
      </c>
      <c r="AB33" s="86">
        <f t="shared" si="11"/>
        <v>0</v>
      </c>
      <c r="AC33" s="76"/>
      <c r="AD33" s="76"/>
      <c r="AE33" s="76"/>
      <c r="AF33" s="76"/>
      <c r="AG33" s="76"/>
      <c r="AH33" s="76"/>
    </row>
    <row r="34" spans="1:34" s="11" customFormat="1" ht="21" x14ac:dyDescent="0.25">
      <c r="A34" s="85" t="s">
        <v>239</v>
      </c>
      <c r="B34" s="85" t="s">
        <v>142</v>
      </c>
      <c r="C34" s="85" t="s">
        <v>47</v>
      </c>
      <c r="D34" s="111"/>
      <c r="E34" s="111"/>
      <c r="F34" s="85">
        <v>220</v>
      </c>
      <c r="G34" s="85">
        <v>9</v>
      </c>
      <c r="H34" s="85">
        <v>59</v>
      </c>
      <c r="I34" s="85">
        <v>23.6</v>
      </c>
      <c r="J34" s="85">
        <v>37.5</v>
      </c>
      <c r="K34" s="85">
        <v>21.5</v>
      </c>
      <c r="L34" s="85">
        <v>61</v>
      </c>
      <c r="M34" s="85">
        <v>24.4</v>
      </c>
      <c r="N34" s="85">
        <v>89.5</v>
      </c>
      <c r="O34" s="85">
        <f t="shared" si="1"/>
        <v>120</v>
      </c>
      <c r="P34" s="50">
        <f t="shared" si="2"/>
        <v>0</v>
      </c>
      <c r="Q34" s="70">
        <f t="shared" si="3"/>
        <v>0</v>
      </c>
      <c r="R34" s="70">
        <f t="shared" si="4"/>
        <v>0</v>
      </c>
      <c r="S34" s="70">
        <f t="shared" si="5"/>
        <v>0</v>
      </c>
      <c r="T34" s="70">
        <f t="shared" si="6"/>
        <v>0</v>
      </c>
      <c r="U34" s="70">
        <f t="shared" si="7"/>
        <v>0</v>
      </c>
      <c r="V34" s="70">
        <f t="shared" si="8"/>
        <v>0</v>
      </c>
      <c r="W34" s="70">
        <f t="shared" si="9"/>
        <v>0</v>
      </c>
      <c r="X34" s="85"/>
      <c r="Y34" s="85">
        <v>0.6</v>
      </c>
      <c r="Z34" s="85">
        <v>0.6</v>
      </c>
      <c r="AA34" s="86">
        <f t="shared" si="10"/>
        <v>0</v>
      </c>
      <c r="AB34" s="86">
        <f t="shared" si="11"/>
        <v>0</v>
      </c>
      <c r="AC34" s="76"/>
      <c r="AD34" s="76"/>
      <c r="AE34" s="76"/>
      <c r="AF34" s="76"/>
      <c r="AG34" s="76"/>
      <c r="AH34" s="76"/>
    </row>
    <row r="35" spans="1:34" s="11" customFormat="1" ht="21" x14ac:dyDescent="0.25">
      <c r="A35" s="85" t="s">
        <v>239</v>
      </c>
      <c r="B35" s="85" t="s">
        <v>142</v>
      </c>
      <c r="C35" s="85" t="s">
        <v>45</v>
      </c>
      <c r="D35" s="111"/>
      <c r="E35" s="111"/>
      <c r="F35" s="85">
        <v>220</v>
      </c>
      <c r="G35" s="85">
        <v>26</v>
      </c>
      <c r="H35" s="85">
        <v>120</v>
      </c>
      <c r="I35" s="85">
        <v>48</v>
      </c>
      <c r="J35" s="85">
        <v>127</v>
      </c>
      <c r="K35" s="85"/>
      <c r="L35" s="85"/>
      <c r="M35" s="85"/>
      <c r="N35" s="85"/>
      <c r="O35" s="85">
        <f t="shared" si="1"/>
        <v>120</v>
      </c>
      <c r="P35" s="50">
        <f t="shared" si="2"/>
        <v>0</v>
      </c>
      <c r="Q35" s="70">
        <f t="shared" si="3"/>
        <v>0</v>
      </c>
      <c r="R35" s="70">
        <f t="shared" si="4"/>
        <v>0</v>
      </c>
      <c r="S35" s="70">
        <f t="shared" si="5"/>
        <v>0</v>
      </c>
      <c r="T35" s="70">
        <f t="shared" si="6"/>
        <v>0</v>
      </c>
      <c r="U35" s="70">
        <f t="shared" si="7"/>
        <v>0</v>
      </c>
      <c r="V35" s="70">
        <f t="shared" si="8"/>
        <v>0</v>
      </c>
      <c r="W35" s="70">
        <f t="shared" si="9"/>
        <v>0</v>
      </c>
      <c r="X35" s="85"/>
      <c r="Y35" s="85">
        <v>0.6</v>
      </c>
      <c r="Z35" s="85">
        <v>0.6</v>
      </c>
      <c r="AA35" s="86">
        <f t="shared" si="10"/>
        <v>0</v>
      </c>
      <c r="AB35" s="86">
        <f t="shared" si="11"/>
        <v>0</v>
      </c>
      <c r="AC35" s="76"/>
      <c r="AD35" s="76"/>
      <c r="AE35" s="76"/>
      <c r="AF35" s="76"/>
      <c r="AG35" s="76"/>
      <c r="AH35" s="76"/>
    </row>
    <row r="36" spans="1:34" s="11" customFormat="1" ht="21" x14ac:dyDescent="0.25">
      <c r="A36" s="85" t="s">
        <v>239</v>
      </c>
      <c r="B36" s="85" t="s">
        <v>142</v>
      </c>
      <c r="C36" s="85" t="s">
        <v>57</v>
      </c>
      <c r="D36" s="111"/>
      <c r="E36" s="111"/>
      <c r="F36" s="85">
        <v>220</v>
      </c>
      <c r="G36" s="85">
        <v>26</v>
      </c>
      <c r="H36" s="85">
        <v>120</v>
      </c>
      <c r="I36" s="85">
        <v>48</v>
      </c>
      <c r="J36" s="85">
        <v>127</v>
      </c>
      <c r="K36" s="85"/>
      <c r="L36" s="85"/>
      <c r="M36" s="85"/>
      <c r="N36" s="85"/>
      <c r="O36" s="85">
        <f t="shared" si="1"/>
        <v>120</v>
      </c>
      <c r="P36" s="50">
        <f t="shared" si="2"/>
        <v>0</v>
      </c>
      <c r="Q36" s="70">
        <f t="shared" si="3"/>
        <v>0</v>
      </c>
      <c r="R36" s="70">
        <f t="shared" si="4"/>
        <v>0</v>
      </c>
      <c r="S36" s="70">
        <f t="shared" si="5"/>
        <v>0</v>
      </c>
      <c r="T36" s="70">
        <f t="shared" si="6"/>
        <v>0</v>
      </c>
      <c r="U36" s="70">
        <f t="shared" si="7"/>
        <v>0</v>
      </c>
      <c r="V36" s="70">
        <f t="shared" si="8"/>
        <v>0</v>
      </c>
      <c r="W36" s="70">
        <f t="shared" si="9"/>
        <v>0</v>
      </c>
      <c r="X36" s="85"/>
      <c r="Y36" s="85">
        <v>0.6</v>
      </c>
      <c r="Z36" s="85">
        <v>0.6</v>
      </c>
      <c r="AA36" s="86">
        <f t="shared" si="10"/>
        <v>0</v>
      </c>
      <c r="AB36" s="86">
        <f t="shared" si="11"/>
        <v>0</v>
      </c>
      <c r="AC36" s="76"/>
      <c r="AD36" s="76"/>
      <c r="AE36" s="76"/>
      <c r="AF36" s="76"/>
      <c r="AG36" s="76"/>
      <c r="AH36" s="76"/>
    </row>
    <row r="37" spans="1:34" s="11" customFormat="1" ht="21" x14ac:dyDescent="0.25">
      <c r="A37" s="85" t="s">
        <v>239</v>
      </c>
      <c r="B37" s="85" t="s">
        <v>142</v>
      </c>
      <c r="C37" s="85" t="s">
        <v>49</v>
      </c>
      <c r="D37" s="111"/>
      <c r="E37" s="111"/>
      <c r="F37" s="85">
        <v>220</v>
      </c>
      <c r="G37" s="85">
        <v>2.8</v>
      </c>
      <c r="H37" s="85">
        <v>17</v>
      </c>
      <c r="I37" s="85">
        <v>6.8</v>
      </c>
      <c r="J37" s="85">
        <v>11.9</v>
      </c>
      <c r="K37" s="85">
        <v>24</v>
      </c>
      <c r="L37" s="85">
        <v>103</v>
      </c>
      <c r="M37" s="85">
        <v>41.2</v>
      </c>
      <c r="N37" s="85">
        <v>115.1</v>
      </c>
      <c r="O37" s="85">
        <f t="shared" si="1"/>
        <v>120</v>
      </c>
      <c r="P37" s="50">
        <f t="shared" si="2"/>
        <v>0</v>
      </c>
      <c r="Q37" s="70">
        <f t="shared" si="3"/>
        <v>0</v>
      </c>
      <c r="R37" s="70">
        <f t="shared" si="4"/>
        <v>0</v>
      </c>
      <c r="S37" s="70">
        <f t="shared" si="5"/>
        <v>0</v>
      </c>
      <c r="T37" s="70">
        <f t="shared" si="6"/>
        <v>0</v>
      </c>
      <c r="U37" s="70">
        <f t="shared" si="7"/>
        <v>0</v>
      </c>
      <c r="V37" s="70">
        <f t="shared" si="8"/>
        <v>0</v>
      </c>
      <c r="W37" s="70">
        <f t="shared" si="9"/>
        <v>0</v>
      </c>
      <c r="X37" s="85"/>
      <c r="Y37" s="85">
        <v>0.6</v>
      </c>
      <c r="Z37" s="85">
        <v>0.6</v>
      </c>
      <c r="AA37" s="86">
        <f t="shared" si="10"/>
        <v>0</v>
      </c>
      <c r="AB37" s="86">
        <f t="shared" si="11"/>
        <v>0</v>
      </c>
      <c r="AC37" s="76"/>
      <c r="AD37" s="76"/>
      <c r="AE37" s="76"/>
      <c r="AF37" s="76"/>
      <c r="AG37" s="76"/>
      <c r="AH37" s="76"/>
    </row>
    <row r="38" spans="1:34" s="11" customFormat="1" ht="21" x14ac:dyDescent="0.25">
      <c r="A38" s="85" t="s">
        <v>239</v>
      </c>
      <c r="B38" s="85" t="s">
        <v>142</v>
      </c>
      <c r="C38" s="85" t="s">
        <v>126</v>
      </c>
      <c r="D38" s="111"/>
      <c r="E38" s="111"/>
      <c r="F38" s="85">
        <v>220</v>
      </c>
      <c r="G38" s="85"/>
      <c r="H38" s="85"/>
      <c r="I38" s="85"/>
      <c r="J38" s="85"/>
      <c r="K38" s="85">
        <v>26.8</v>
      </c>
      <c r="L38" s="85">
        <v>120</v>
      </c>
      <c r="M38" s="85">
        <v>48</v>
      </c>
      <c r="N38" s="85">
        <v>127</v>
      </c>
      <c r="O38" s="85">
        <f t="shared" si="1"/>
        <v>120</v>
      </c>
      <c r="P38" s="50">
        <f t="shared" si="2"/>
        <v>0</v>
      </c>
      <c r="Q38" s="70">
        <f t="shared" si="3"/>
        <v>0</v>
      </c>
      <c r="R38" s="70">
        <f t="shared" si="4"/>
        <v>0</v>
      </c>
      <c r="S38" s="70">
        <f t="shared" si="5"/>
        <v>0</v>
      </c>
      <c r="T38" s="70">
        <f t="shared" si="6"/>
        <v>0</v>
      </c>
      <c r="U38" s="70">
        <f t="shared" si="7"/>
        <v>0</v>
      </c>
      <c r="V38" s="70">
        <f t="shared" si="8"/>
        <v>0</v>
      </c>
      <c r="W38" s="70">
        <f t="shared" si="9"/>
        <v>0</v>
      </c>
      <c r="X38" s="85"/>
      <c r="Y38" s="85">
        <v>0.6</v>
      </c>
      <c r="Z38" s="85">
        <v>0.6</v>
      </c>
      <c r="AA38" s="86">
        <f t="shared" si="10"/>
        <v>0</v>
      </c>
      <c r="AB38" s="86">
        <f t="shared" si="11"/>
        <v>0</v>
      </c>
      <c r="AC38" s="76"/>
      <c r="AD38" s="76"/>
      <c r="AE38" s="76"/>
      <c r="AF38" s="76"/>
      <c r="AG38" s="76"/>
      <c r="AH38" s="76"/>
    </row>
    <row r="39" spans="1:34" s="11" customFormat="1" ht="21" x14ac:dyDescent="0.25">
      <c r="A39" s="85" t="s">
        <v>239</v>
      </c>
      <c r="B39" s="85" t="s">
        <v>142</v>
      </c>
      <c r="C39" s="85" t="s">
        <v>58</v>
      </c>
      <c r="D39" s="111"/>
      <c r="E39" s="111"/>
      <c r="F39" s="85">
        <v>220</v>
      </c>
      <c r="G39" s="85">
        <v>13</v>
      </c>
      <c r="H39" s="85">
        <v>61</v>
      </c>
      <c r="I39" s="85">
        <v>24.4</v>
      </c>
      <c r="J39" s="85">
        <v>40.9</v>
      </c>
      <c r="K39" s="85">
        <v>27.4</v>
      </c>
      <c r="L39" s="85">
        <v>59</v>
      </c>
      <c r="M39" s="85">
        <v>23.6</v>
      </c>
      <c r="N39" s="85">
        <v>86.1</v>
      </c>
      <c r="O39" s="85">
        <f t="shared" si="1"/>
        <v>120</v>
      </c>
      <c r="P39" s="50">
        <f t="shared" si="2"/>
        <v>0</v>
      </c>
      <c r="Q39" s="70">
        <f t="shared" si="3"/>
        <v>0</v>
      </c>
      <c r="R39" s="70">
        <f t="shared" si="4"/>
        <v>0</v>
      </c>
      <c r="S39" s="70">
        <f t="shared" si="5"/>
        <v>0</v>
      </c>
      <c r="T39" s="70">
        <f t="shared" si="6"/>
        <v>0</v>
      </c>
      <c r="U39" s="70">
        <f t="shared" si="7"/>
        <v>0</v>
      </c>
      <c r="V39" s="70">
        <f t="shared" si="8"/>
        <v>0</v>
      </c>
      <c r="W39" s="70">
        <f t="shared" si="9"/>
        <v>0</v>
      </c>
      <c r="X39" s="85"/>
      <c r="Y39" s="85">
        <v>0.6</v>
      </c>
      <c r="Z39" s="85">
        <v>0.6</v>
      </c>
      <c r="AA39" s="86">
        <f t="shared" si="10"/>
        <v>0</v>
      </c>
      <c r="AB39" s="86">
        <f t="shared" si="11"/>
        <v>0</v>
      </c>
      <c r="AC39" s="76"/>
      <c r="AD39" s="76"/>
      <c r="AE39" s="76"/>
      <c r="AF39" s="76"/>
      <c r="AG39" s="76"/>
      <c r="AH39" s="76"/>
    </row>
    <row r="40" spans="1:34" s="11" customFormat="1" ht="21" x14ac:dyDescent="0.25">
      <c r="A40" s="85" t="s">
        <v>231</v>
      </c>
      <c r="B40" s="85" t="s">
        <v>62</v>
      </c>
      <c r="C40" s="85" t="s">
        <v>56</v>
      </c>
      <c r="D40" s="111"/>
      <c r="E40" s="111"/>
      <c r="F40" s="85">
        <v>350</v>
      </c>
      <c r="G40" s="85">
        <v>3.2</v>
      </c>
      <c r="H40" s="85">
        <v>18</v>
      </c>
      <c r="I40" s="85">
        <v>7.2</v>
      </c>
      <c r="J40" s="85">
        <v>12.2</v>
      </c>
      <c r="K40" s="85">
        <v>23.5</v>
      </c>
      <c r="L40" s="85">
        <v>66</v>
      </c>
      <c r="M40" s="85">
        <v>26.4</v>
      </c>
      <c r="N40" s="85">
        <v>78.8</v>
      </c>
      <c r="O40" s="85">
        <f t="shared" si="1"/>
        <v>84</v>
      </c>
      <c r="P40" s="50">
        <f t="shared" si="2"/>
        <v>0</v>
      </c>
      <c r="Q40" s="70">
        <f t="shared" si="3"/>
        <v>0</v>
      </c>
      <c r="R40" s="70">
        <f t="shared" si="4"/>
        <v>0</v>
      </c>
      <c r="S40" s="70">
        <f t="shared" si="5"/>
        <v>0</v>
      </c>
      <c r="T40" s="70">
        <f t="shared" si="6"/>
        <v>0</v>
      </c>
      <c r="U40" s="70">
        <f t="shared" si="7"/>
        <v>0</v>
      </c>
      <c r="V40" s="70">
        <f t="shared" si="8"/>
        <v>0</v>
      </c>
      <c r="W40" s="70">
        <f t="shared" si="9"/>
        <v>0</v>
      </c>
      <c r="X40" s="85"/>
      <c r="Y40" s="85">
        <v>0.6</v>
      </c>
      <c r="Z40" s="85">
        <v>0.6</v>
      </c>
      <c r="AA40" s="86">
        <f t="shared" si="10"/>
        <v>0</v>
      </c>
      <c r="AB40" s="86">
        <f t="shared" si="11"/>
        <v>0</v>
      </c>
      <c r="AC40" s="76"/>
      <c r="AD40" s="76"/>
      <c r="AE40" s="76"/>
      <c r="AF40" s="76"/>
      <c r="AG40" s="76"/>
      <c r="AH40" s="76"/>
    </row>
    <row r="41" spans="1:34" s="11" customFormat="1" ht="21" x14ac:dyDescent="0.25">
      <c r="A41" s="85" t="s">
        <v>237</v>
      </c>
      <c r="B41" s="85" t="s">
        <v>62</v>
      </c>
      <c r="C41" s="85" t="s">
        <v>56</v>
      </c>
      <c r="D41" s="111"/>
      <c r="E41" s="111"/>
      <c r="F41" s="85">
        <v>350</v>
      </c>
      <c r="G41" s="85">
        <v>3.2</v>
      </c>
      <c r="H41" s="85">
        <v>18</v>
      </c>
      <c r="I41" s="85">
        <v>7.2</v>
      </c>
      <c r="J41" s="85">
        <v>13.2</v>
      </c>
      <c r="K41" s="85">
        <v>23.5</v>
      </c>
      <c r="L41" s="85">
        <v>66</v>
      </c>
      <c r="M41" s="85">
        <v>26.4</v>
      </c>
      <c r="N41" s="85">
        <v>78.8</v>
      </c>
      <c r="O41" s="85">
        <f t="shared" si="1"/>
        <v>84</v>
      </c>
      <c r="P41" s="50">
        <f t="shared" si="2"/>
        <v>0</v>
      </c>
      <c r="Q41" s="70">
        <f t="shared" si="3"/>
        <v>0</v>
      </c>
      <c r="R41" s="70">
        <f t="shared" si="4"/>
        <v>0</v>
      </c>
      <c r="S41" s="70">
        <f t="shared" si="5"/>
        <v>0</v>
      </c>
      <c r="T41" s="70">
        <f t="shared" si="6"/>
        <v>0</v>
      </c>
      <c r="U41" s="70">
        <f t="shared" si="7"/>
        <v>0</v>
      </c>
      <c r="V41" s="70">
        <f t="shared" si="8"/>
        <v>0</v>
      </c>
      <c r="W41" s="70">
        <f t="shared" si="9"/>
        <v>0</v>
      </c>
      <c r="X41" s="85"/>
      <c r="Y41" s="85">
        <v>0.6</v>
      </c>
      <c r="Z41" s="85">
        <v>0.6</v>
      </c>
      <c r="AA41" s="86">
        <f t="shared" si="10"/>
        <v>0</v>
      </c>
      <c r="AB41" s="86">
        <f t="shared" si="11"/>
        <v>0</v>
      </c>
      <c r="AC41" s="76"/>
      <c r="AD41" s="76"/>
      <c r="AE41" s="76"/>
      <c r="AF41" s="76"/>
      <c r="AG41" s="76"/>
      <c r="AH41" s="76"/>
    </row>
    <row r="42" spans="1:34" s="11" customFormat="1" ht="21" x14ac:dyDescent="0.25">
      <c r="A42" s="85" t="s">
        <v>231</v>
      </c>
      <c r="B42" s="85" t="s">
        <v>62</v>
      </c>
      <c r="C42" s="85" t="s">
        <v>127</v>
      </c>
      <c r="D42" s="111"/>
      <c r="E42" s="111"/>
      <c r="F42" s="85">
        <v>350</v>
      </c>
      <c r="G42" s="85"/>
      <c r="H42" s="85"/>
      <c r="I42" s="85"/>
      <c r="J42" s="85"/>
      <c r="K42" s="85">
        <v>26.7</v>
      </c>
      <c r="L42" s="85">
        <v>84</v>
      </c>
      <c r="M42" s="85">
        <v>33.6</v>
      </c>
      <c r="N42" s="85">
        <v>91</v>
      </c>
      <c r="O42" s="85">
        <f t="shared" si="1"/>
        <v>84</v>
      </c>
      <c r="P42" s="50">
        <f t="shared" si="2"/>
        <v>0</v>
      </c>
      <c r="Q42" s="70">
        <f t="shared" si="3"/>
        <v>0</v>
      </c>
      <c r="R42" s="70">
        <f t="shared" si="4"/>
        <v>0</v>
      </c>
      <c r="S42" s="70">
        <f t="shared" si="5"/>
        <v>0</v>
      </c>
      <c r="T42" s="70">
        <f t="shared" si="6"/>
        <v>0</v>
      </c>
      <c r="U42" s="70">
        <f t="shared" si="7"/>
        <v>0</v>
      </c>
      <c r="V42" s="70">
        <f t="shared" si="8"/>
        <v>0</v>
      </c>
      <c r="W42" s="70">
        <f t="shared" si="9"/>
        <v>0</v>
      </c>
      <c r="X42" s="85"/>
      <c r="Y42" s="85">
        <v>0.6</v>
      </c>
      <c r="Z42" s="85">
        <v>0.6</v>
      </c>
      <c r="AA42" s="86">
        <f t="shared" si="10"/>
        <v>0</v>
      </c>
      <c r="AB42" s="86">
        <f t="shared" si="11"/>
        <v>0</v>
      </c>
      <c r="AC42" s="76"/>
      <c r="AD42" s="76"/>
      <c r="AE42" s="76"/>
      <c r="AF42" s="76"/>
      <c r="AG42" s="76"/>
      <c r="AH42" s="76"/>
    </row>
    <row r="43" spans="1:34" s="11" customFormat="1" ht="21" x14ac:dyDescent="0.25">
      <c r="A43" s="85" t="s">
        <v>237</v>
      </c>
      <c r="B43" s="85" t="s">
        <v>62</v>
      </c>
      <c r="C43" s="85" t="s">
        <v>127</v>
      </c>
      <c r="D43" s="111"/>
      <c r="E43" s="111"/>
      <c r="F43" s="85">
        <v>350</v>
      </c>
      <c r="G43" s="85"/>
      <c r="H43" s="85"/>
      <c r="I43" s="85"/>
      <c r="J43" s="85"/>
      <c r="K43" s="85">
        <v>26.7</v>
      </c>
      <c r="L43" s="85">
        <v>84</v>
      </c>
      <c r="M43" s="85">
        <v>33.6</v>
      </c>
      <c r="N43" s="85">
        <v>92</v>
      </c>
      <c r="O43" s="85">
        <f t="shared" si="1"/>
        <v>84</v>
      </c>
      <c r="P43" s="50">
        <f t="shared" si="2"/>
        <v>0</v>
      </c>
      <c r="Q43" s="70">
        <f t="shared" si="3"/>
        <v>0</v>
      </c>
      <c r="R43" s="70">
        <f t="shared" si="4"/>
        <v>0</v>
      </c>
      <c r="S43" s="70">
        <f t="shared" si="5"/>
        <v>0</v>
      </c>
      <c r="T43" s="70">
        <f t="shared" si="6"/>
        <v>0</v>
      </c>
      <c r="U43" s="70">
        <f t="shared" si="7"/>
        <v>0</v>
      </c>
      <c r="V43" s="70">
        <f t="shared" si="8"/>
        <v>0</v>
      </c>
      <c r="W43" s="70">
        <f t="shared" si="9"/>
        <v>0</v>
      </c>
      <c r="X43" s="85"/>
      <c r="Y43" s="85">
        <v>0.6</v>
      </c>
      <c r="Z43" s="85">
        <v>0.6</v>
      </c>
      <c r="AA43" s="86">
        <f t="shared" si="10"/>
        <v>0</v>
      </c>
      <c r="AB43" s="86">
        <f t="shared" si="11"/>
        <v>0</v>
      </c>
      <c r="AC43" s="76"/>
      <c r="AD43" s="76"/>
      <c r="AE43" s="76"/>
      <c r="AF43" s="76"/>
      <c r="AG43" s="76"/>
      <c r="AH43" s="76"/>
    </row>
    <row r="44" spans="1:34" s="11" customFormat="1" ht="21" x14ac:dyDescent="0.25">
      <c r="A44" s="85" t="s">
        <v>231</v>
      </c>
      <c r="B44" s="85" t="s">
        <v>62</v>
      </c>
      <c r="C44" s="85" t="s">
        <v>59</v>
      </c>
      <c r="D44" s="111"/>
      <c r="E44" s="111"/>
      <c r="F44" s="85">
        <v>350</v>
      </c>
      <c r="G44" s="85">
        <v>2.8</v>
      </c>
      <c r="H44" s="85">
        <v>12</v>
      </c>
      <c r="I44" s="85">
        <v>4.8</v>
      </c>
      <c r="J44" s="85">
        <v>10.6</v>
      </c>
      <c r="K44" s="85">
        <v>24</v>
      </c>
      <c r="L44" s="85">
        <v>72</v>
      </c>
      <c r="M44" s="85">
        <v>28.8</v>
      </c>
      <c r="N44" s="85">
        <v>81.400000000000006</v>
      </c>
      <c r="O44" s="85">
        <f t="shared" si="1"/>
        <v>84</v>
      </c>
      <c r="P44" s="50">
        <f t="shared" si="2"/>
        <v>0</v>
      </c>
      <c r="Q44" s="70">
        <f t="shared" si="3"/>
        <v>0</v>
      </c>
      <c r="R44" s="70">
        <f t="shared" si="4"/>
        <v>0</v>
      </c>
      <c r="S44" s="70">
        <f t="shared" si="5"/>
        <v>0</v>
      </c>
      <c r="T44" s="70">
        <f t="shared" si="6"/>
        <v>0</v>
      </c>
      <c r="U44" s="70">
        <f t="shared" si="7"/>
        <v>0</v>
      </c>
      <c r="V44" s="70">
        <f t="shared" si="8"/>
        <v>0</v>
      </c>
      <c r="W44" s="70">
        <f t="shared" si="9"/>
        <v>0</v>
      </c>
      <c r="X44" s="85"/>
      <c r="Y44" s="85">
        <v>0.6</v>
      </c>
      <c r="Z44" s="85">
        <v>0.6</v>
      </c>
      <c r="AA44" s="86">
        <f t="shared" si="10"/>
        <v>0</v>
      </c>
      <c r="AB44" s="86">
        <f t="shared" si="11"/>
        <v>0</v>
      </c>
      <c r="AC44" s="76"/>
      <c r="AD44" s="76"/>
      <c r="AE44" s="76"/>
      <c r="AF44" s="76"/>
      <c r="AG44" s="76"/>
      <c r="AH44" s="76"/>
    </row>
    <row r="45" spans="1:34" s="11" customFormat="1" ht="21" x14ac:dyDescent="0.25">
      <c r="A45" s="85" t="s">
        <v>237</v>
      </c>
      <c r="B45" s="85" t="s">
        <v>62</v>
      </c>
      <c r="C45" s="85" t="s">
        <v>59</v>
      </c>
      <c r="D45" s="111"/>
      <c r="E45" s="111"/>
      <c r="F45" s="85">
        <v>350</v>
      </c>
      <c r="G45" s="85">
        <v>2.8</v>
      </c>
      <c r="H45" s="85">
        <v>12</v>
      </c>
      <c r="I45" s="85">
        <v>4.8</v>
      </c>
      <c r="J45" s="85">
        <v>10.6</v>
      </c>
      <c r="K45" s="85">
        <v>24</v>
      </c>
      <c r="L45" s="85">
        <v>72</v>
      </c>
      <c r="M45" s="85">
        <v>28.8</v>
      </c>
      <c r="N45" s="85">
        <v>81.400000000000006</v>
      </c>
      <c r="O45" s="85">
        <f t="shared" si="1"/>
        <v>84</v>
      </c>
      <c r="P45" s="50">
        <f t="shared" si="2"/>
        <v>0</v>
      </c>
      <c r="Q45" s="70">
        <f t="shared" si="3"/>
        <v>0</v>
      </c>
      <c r="R45" s="70">
        <f t="shared" si="4"/>
        <v>0</v>
      </c>
      <c r="S45" s="70">
        <f t="shared" si="5"/>
        <v>0</v>
      </c>
      <c r="T45" s="70">
        <f t="shared" si="6"/>
        <v>0</v>
      </c>
      <c r="U45" s="70">
        <f t="shared" si="7"/>
        <v>0</v>
      </c>
      <c r="V45" s="70">
        <f t="shared" si="8"/>
        <v>0</v>
      </c>
      <c r="W45" s="70">
        <f t="shared" si="9"/>
        <v>0</v>
      </c>
      <c r="X45" s="85"/>
      <c r="Y45" s="85">
        <v>0.6</v>
      </c>
      <c r="Z45" s="85">
        <v>0.6</v>
      </c>
      <c r="AA45" s="86">
        <f t="shared" si="10"/>
        <v>0</v>
      </c>
      <c r="AB45" s="86">
        <f t="shared" si="11"/>
        <v>0</v>
      </c>
      <c r="AC45" s="76"/>
      <c r="AD45" s="76"/>
      <c r="AE45" s="76"/>
      <c r="AF45" s="76"/>
      <c r="AG45" s="76"/>
      <c r="AH45" s="76"/>
    </row>
    <row r="46" spans="1:34" s="11" customFormat="1" ht="21" x14ac:dyDescent="0.25">
      <c r="A46" s="85" t="s">
        <v>231</v>
      </c>
      <c r="B46" s="85" t="s">
        <v>62</v>
      </c>
      <c r="C46" s="85" t="s">
        <v>128</v>
      </c>
      <c r="D46" s="111"/>
      <c r="E46" s="111"/>
      <c r="F46" s="85">
        <v>350</v>
      </c>
      <c r="G46" s="85"/>
      <c r="H46" s="85"/>
      <c r="I46" s="85"/>
      <c r="J46" s="85"/>
      <c r="K46" s="85">
        <v>26.8</v>
      </c>
      <c r="L46" s="85">
        <v>84</v>
      </c>
      <c r="M46" s="85">
        <v>33.6</v>
      </c>
      <c r="N46" s="85">
        <v>92</v>
      </c>
      <c r="O46" s="85">
        <f t="shared" si="1"/>
        <v>84</v>
      </c>
      <c r="P46" s="50">
        <f t="shared" si="2"/>
        <v>0</v>
      </c>
      <c r="Q46" s="70">
        <f t="shared" si="3"/>
        <v>0</v>
      </c>
      <c r="R46" s="70">
        <f t="shared" si="4"/>
        <v>0</v>
      </c>
      <c r="S46" s="70">
        <f t="shared" si="5"/>
        <v>0</v>
      </c>
      <c r="T46" s="70">
        <f t="shared" si="6"/>
        <v>0</v>
      </c>
      <c r="U46" s="70">
        <f t="shared" si="7"/>
        <v>0</v>
      </c>
      <c r="V46" s="70">
        <f t="shared" si="8"/>
        <v>0</v>
      </c>
      <c r="W46" s="70">
        <f t="shared" si="9"/>
        <v>0</v>
      </c>
      <c r="X46" s="85"/>
      <c r="Y46" s="85">
        <v>0.6</v>
      </c>
      <c r="Z46" s="85">
        <v>0.6</v>
      </c>
      <c r="AA46" s="86">
        <f t="shared" si="10"/>
        <v>0</v>
      </c>
      <c r="AB46" s="86">
        <f t="shared" si="11"/>
        <v>0</v>
      </c>
      <c r="AC46" s="76"/>
      <c r="AD46" s="76"/>
      <c r="AE46" s="76"/>
      <c r="AF46" s="76"/>
      <c r="AG46" s="76"/>
      <c r="AH46" s="76"/>
    </row>
    <row r="47" spans="1:34" s="11" customFormat="1" ht="21" x14ac:dyDescent="0.25">
      <c r="A47" s="85" t="s">
        <v>237</v>
      </c>
      <c r="B47" s="85" t="s">
        <v>62</v>
      </c>
      <c r="C47" s="85" t="s">
        <v>128</v>
      </c>
      <c r="D47" s="111"/>
      <c r="E47" s="111"/>
      <c r="F47" s="85">
        <v>350</v>
      </c>
      <c r="G47" s="85"/>
      <c r="H47" s="85"/>
      <c r="I47" s="85"/>
      <c r="J47" s="85"/>
      <c r="K47" s="85">
        <v>26.8</v>
      </c>
      <c r="L47" s="85">
        <v>84</v>
      </c>
      <c r="M47" s="85">
        <v>33.6</v>
      </c>
      <c r="N47" s="85">
        <v>92</v>
      </c>
      <c r="O47" s="85">
        <f t="shared" si="1"/>
        <v>84</v>
      </c>
      <c r="P47" s="50">
        <f t="shared" si="2"/>
        <v>0</v>
      </c>
      <c r="Q47" s="70">
        <f t="shared" si="3"/>
        <v>0</v>
      </c>
      <c r="R47" s="70">
        <f t="shared" si="4"/>
        <v>0</v>
      </c>
      <c r="S47" s="70">
        <f t="shared" si="5"/>
        <v>0</v>
      </c>
      <c r="T47" s="70">
        <f t="shared" si="6"/>
        <v>0</v>
      </c>
      <c r="U47" s="70">
        <f t="shared" si="7"/>
        <v>0</v>
      </c>
      <c r="V47" s="70">
        <f t="shared" si="8"/>
        <v>0</v>
      </c>
      <c r="W47" s="70">
        <f t="shared" si="9"/>
        <v>0</v>
      </c>
      <c r="X47" s="85"/>
      <c r="Y47" s="85">
        <v>0.6</v>
      </c>
      <c r="Z47" s="85">
        <v>0.6</v>
      </c>
      <c r="AA47" s="86">
        <f t="shared" si="10"/>
        <v>0</v>
      </c>
      <c r="AB47" s="86">
        <f t="shared" si="11"/>
        <v>0</v>
      </c>
      <c r="AC47" s="76"/>
      <c r="AD47" s="76"/>
      <c r="AE47" s="76"/>
      <c r="AF47" s="76"/>
      <c r="AG47" s="76"/>
      <c r="AH47" s="76"/>
    </row>
    <row r="48" spans="1:34" s="11" customFormat="1" ht="21" x14ac:dyDescent="0.25">
      <c r="A48" s="85" t="s">
        <v>231</v>
      </c>
      <c r="B48" s="85" t="s">
        <v>62</v>
      </c>
      <c r="C48" s="85" t="s">
        <v>46</v>
      </c>
      <c r="D48" s="111"/>
      <c r="E48" s="111"/>
      <c r="F48" s="85">
        <v>350</v>
      </c>
      <c r="G48" s="85">
        <v>16</v>
      </c>
      <c r="H48" s="85">
        <v>43</v>
      </c>
      <c r="I48" s="85">
        <v>17.2</v>
      </c>
      <c r="J48" s="85">
        <v>49.2</v>
      </c>
      <c r="K48" s="85">
        <v>13.9</v>
      </c>
      <c r="L48" s="85">
        <v>41</v>
      </c>
      <c r="M48" s="85">
        <v>16.399999999999999</v>
      </c>
      <c r="N48" s="85">
        <v>42.8</v>
      </c>
      <c r="O48" s="85">
        <f t="shared" si="1"/>
        <v>84</v>
      </c>
      <c r="P48" s="50">
        <f t="shared" si="2"/>
        <v>0</v>
      </c>
      <c r="Q48" s="70">
        <f t="shared" si="3"/>
        <v>0</v>
      </c>
      <c r="R48" s="70">
        <f t="shared" si="4"/>
        <v>0</v>
      </c>
      <c r="S48" s="70">
        <f t="shared" si="5"/>
        <v>0</v>
      </c>
      <c r="T48" s="70">
        <f t="shared" si="6"/>
        <v>0</v>
      </c>
      <c r="U48" s="70">
        <f t="shared" si="7"/>
        <v>0</v>
      </c>
      <c r="V48" s="70">
        <f t="shared" si="8"/>
        <v>0</v>
      </c>
      <c r="W48" s="70">
        <f t="shared" si="9"/>
        <v>0</v>
      </c>
      <c r="X48" s="85"/>
      <c r="Y48" s="85">
        <v>0.6</v>
      </c>
      <c r="Z48" s="85">
        <v>0.6</v>
      </c>
      <c r="AA48" s="86">
        <f t="shared" si="10"/>
        <v>0</v>
      </c>
      <c r="AB48" s="86">
        <f t="shared" si="11"/>
        <v>0</v>
      </c>
      <c r="AC48" s="76"/>
      <c r="AD48" s="76"/>
      <c r="AE48" s="76"/>
      <c r="AF48" s="76"/>
      <c r="AG48" s="76"/>
      <c r="AH48" s="76"/>
    </row>
    <row r="49" spans="1:34" s="11" customFormat="1" ht="21" x14ac:dyDescent="0.25">
      <c r="A49" s="85" t="s">
        <v>237</v>
      </c>
      <c r="B49" s="85" t="s">
        <v>62</v>
      </c>
      <c r="C49" s="85" t="s">
        <v>46</v>
      </c>
      <c r="D49" s="111"/>
      <c r="E49" s="111"/>
      <c r="F49" s="85">
        <v>350</v>
      </c>
      <c r="G49" s="85">
        <v>16</v>
      </c>
      <c r="H49" s="85">
        <v>43</v>
      </c>
      <c r="I49" s="85">
        <v>17.2</v>
      </c>
      <c r="J49" s="85">
        <v>49.2</v>
      </c>
      <c r="K49" s="85">
        <v>13.9</v>
      </c>
      <c r="L49" s="85">
        <v>41</v>
      </c>
      <c r="M49" s="85">
        <v>16.399999999999999</v>
      </c>
      <c r="N49" s="85">
        <v>42.8</v>
      </c>
      <c r="O49" s="85">
        <f t="shared" si="1"/>
        <v>84</v>
      </c>
      <c r="P49" s="50">
        <f t="shared" si="2"/>
        <v>0</v>
      </c>
      <c r="Q49" s="70">
        <f t="shared" si="3"/>
        <v>0</v>
      </c>
      <c r="R49" s="70">
        <f t="shared" si="4"/>
        <v>0</v>
      </c>
      <c r="S49" s="70">
        <f t="shared" si="5"/>
        <v>0</v>
      </c>
      <c r="T49" s="70">
        <f t="shared" si="6"/>
        <v>0</v>
      </c>
      <c r="U49" s="70">
        <f t="shared" si="7"/>
        <v>0</v>
      </c>
      <c r="V49" s="70">
        <f t="shared" si="8"/>
        <v>0</v>
      </c>
      <c r="W49" s="70">
        <f t="shared" si="9"/>
        <v>0</v>
      </c>
      <c r="X49" s="85"/>
      <c r="Y49" s="85">
        <v>0.6</v>
      </c>
      <c r="Z49" s="85">
        <v>0.6</v>
      </c>
      <c r="AA49" s="86">
        <f t="shared" si="10"/>
        <v>0</v>
      </c>
      <c r="AB49" s="86">
        <f t="shared" si="11"/>
        <v>0</v>
      </c>
      <c r="AC49" s="76"/>
      <c r="AD49" s="76"/>
      <c r="AE49" s="76"/>
      <c r="AF49" s="76"/>
      <c r="AG49" s="76"/>
      <c r="AH49" s="76"/>
    </row>
    <row r="50" spans="1:34" s="11" customFormat="1" ht="21" x14ac:dyDescent="0.25">
      <c r="A50" s="85" t="s">
        <v>231</v>
      </c>
      <c r="B50" s="85" t="s">
        <v>62</v>
      </c>
      <c r="C50" s="85" t="s">
        <v>47</v>
      </c>
      <c r="D50" s="111"/>
      <c r="E50" s="111"/>
      <c r="F50" s="85">
        <v>350</v>
      </c>
      <c r="G50" s="85">
        <v>9</v>
      </c>
      <c r="H50" s="85">
        <v>41</v>
      </c>
      <c r="I50" s="85">
        <v>16.399999999999999</v>
      </c>
      <c r="J50" s="85">
        <v>27.1</v>
      </c>
      <c r="K50" s="85">
        <v>21.5</v>
      </c>
      <c r="L50" s="85">
        <v>43</v>
      </c>
      <c r="M50" s="85">
        <v>17.2</v>
      </c>
      <c r="N50" s="85">
        <v>54.9</v>
      </c>
      <c r="O50" s="85">
        <f t="shared" si="1"/>
        <v>84</v>
      </c>
      <c r="P50" s="50">
        <f t="shared" si="2"/>
        <v>0</v>
      </c>
      <c r="Q50" s="70">
        <f t="shared" si="3"/>
        <v>0</v>
      </c>
      <c r="R50" s="70">
        <f t="shared" si="4"/>
        <v>0</v>
      </c>
      <c r="S50" s="70">
        <f t="shared" si="5"/>
        <v>0</v>
      </c>
      <c r="T50" s="70">
        <f t="shared" si="6"/>
        <v>0</v>
      </c>
      <c r="U50" s="70">
        <f t="shared" si="7"/>
        <v>0</v>
      </c>
      <c r="V50" s="70">
        <f t="shared" si="8"/>
        <v>0</v>
      </c>
      <c r="W50" s="70">
        <f t="shared" si="9"/>
        <v>0</v>
      </c>
      <c r="X50" s="85"/>
      <c r="Y50" s="85">
        <v>0.6</v>
      </c>
      <c r="Z50" s="85">
        <v>0.6</v>
      </c>
      <c r="AA50" s="86">
        <f t="shared" si="10"/>
        <v>0</v>
      </c>
      <c r="AB50" s="86">
        <f t="shared" si="11"/>
        <v>0</v>
      </c>
      <c r="AC50" s="76"/>
      <c r="AD50" s="76"/>
      <c r="AE50" s="76"/>
      <c r="AF50" s="76"/>
      <c r="AG50" s="76"/>
      <c r="AH50" s="76"/>
    </row>
    <row r="51" spans="1:34" s="11" customFormat="1" ht="21" x14ac:dyDescent="0.25">
      <c r="A51" s="85" t="s">
        <v>237</v>
      </c>
      <c r="B51" s="85" t="s">
        <v>62</v>
      </c>
      <c r="C51" s="85" t="s">
        <v>47</v>
      </c>
      <c r="D51" s="111"/>
      <c r="E51" s="111"/>
      <c r="F51" s="85">
        <v>350</v>
      </c>
      <c r="G51" s="85">
        <v>9</v>
      </c>
      <c r="H51" s="85">
        <v>41</v>
      </c>
      <c r="I51" s="85">
        <v>16.399999999999999</v>
      </c>
      <c r="J51" s="85">
        <v>27.1</v>
      </c>
      <c r="K51" s="85">
        <v>21.5</v>
      </c>
      <c r="L51" s="85">
        <v>43</v>
      </c>
      <c r="M51" s="85">
        <v>17.2</v>
      </c>
      <c r="N51" s="85">
        <v>64.900000000000006</v>
      </c>
      <c r="O51" s="85">
        <f t="shared" si="1"/>
        <v>84</v>
      </c>
      <c r="P51" s="50">
        <f t="shared" si="2"/>
        <v>0</v>
      </c>
      <c r="Q51" s="70">
        <f t="shared" si="3"/>
        <v>0</v>
      </c>
      <c r="R51" s="70">
        <f t="shared" si="4"/>
        <v>0</v>
      </c>
      <c r="S51" s="70">
        <f t="shared" si="5"/>
        <v>0</v>
      </c>
      <c r="T51" s="70">
        <f t="shared" si="6"/>
        <v>0</v>
      </c>
      <c r="U51" s="70">
        <f t="shared" si="7"/>
        <v>0</v>
      </c>
      <c r="V51" s="70">
        <f t="shared" si="8"/>
        <v>0</v>
      </c>
      <c r="W51" s="70">
        <f t="shared" si="9"/>
        <v>0</v>
      </c>
      <c r="X51" s="85"/>
      <c r="Y51" s="85">
        <v>0.6</v>
      </c>
      <c r="Z51" s="85">
        <v>0.6</v>
      </c>
      <c r="AA51" s="86">
        <f t="shared" si="10"/>
        <v>0</v>
      </c>
      <c r="AB51" s="86">
        <f t="shared" si="11"/>
        <v>0</v>
      </c>
      <c r="AC51" s="76"/>
      <c r="AD51" s="76"/>
      <c r="AE51" s="76"/>
      <c r="AF51" s="76"/>
      <c r="AG51" s="76"/>
      <c r="AH51" s="76"/>
    </row>
    <row r="52" spans="1:34" s="11" customFormat="1" ht="21" x14ac:dyDescent="0.25">
      <c r="A52" s="85" t="s">
        <v>231</v>
      </c>
      <c r="B52" s="85" t="s">
        <v>62</v>
      </c>
      <c r="C52" s="85" t="s">
        <v>45</v>
      </c>
      <c r="D52" s="111"/>
      <c r="E52" s="111"/>
      <c r="F52" s="85">
        <v>350</v>
      </c>
      <c r="G52" s="85">
        <v>26</v>
      </c>
      <c r="H52" s="85">
        <v>84</v>
      </c>
      <c r="I52" s="85">
        <v>33.6</v>
      </c>
      <c r="J52" s="85">
        <v>92</v>
      </c>
      <c r="K52" s="85"/>
      <c r="L52" s="85"/>
      <c r="M52" s="85"/>
      <c r="N52" s="85"/>
      <c r="O52" s="85">
        <f t="shared" si="1"/>
        <v>84</v>
      </c>
      <c r="P52" s="50">
        <f t="shared" si="2"/>
        <v>0</v>
      </c>
      <c r="Q52" s="70">
        <f t="shared" si="3"/>
        <v>0</v>
      </c>
      <c r="R52" s="70">
        <f t="shared" si="4"/>
        <v>0</v>
      </c>
      <c r="S52" s="70">
        <f t="shared" si="5"/>
        <v>0</v>
      </c>
      <c r="T52" s="70">
        <f t="shared" si="6"/>
        <v>0</v>
      </c>
      <c r="U52" s="70">
        <f t="shared" si="7"/>
        <v>0</v>
      </c>
      <c r="V52" s="70">
        <f t="shared" si="8"/>
        <v>0</v>
      </c>
      <c r="W52" s="70">
        <f t="shared" si="9"/>
        <v>0</v>
      </c>
      <c r="X52" s="85"/>
      <c r="Y52" s="85">
        <v>0.6</v>
      </c>
      <c r="Z52" s="85">
        <v>0.6</v>
      </c>
      <c r="AA52" s="86">
        <f t="shared" si="10"/>
        <v>0</v>
      </c>
      <c r="AB52" s="86">
        <f t="shared" si="11"/>
        <v>0</v>
      </c>
      <c r="AC52" s="76"/>
      <c r="AD52" s="76"/>
      <c r="AE52" s="76"/>
      <c r="AF52" s="76"/>
      <c r="AG52" s="76"/>
      <c r="AH52" s="76"/>
    </row>
    <row r="53" spans="1:34" s="11" customFormat="1" ht="21" x14ac:dyDescent="0.25">
      <c r="A53" s="85" t="s">
        <v>237</v>
      </c>
      <c r="B53" s="85" t="s">
        <v>62</v>
      </c>
      <c r="C53" s="85" t="s">
        <v>45</v>
      </c>
      <c r="D53" s="111"/>
      <c r="E53" s="111"/>
      <c r="F53" s="85">
        <v>350</v>
      </c>
      <c r="G53" s="85">
        <v>26</v>
      </c>
      <c r="H53" s="85">
        <v>84</v>
      </c>
      <c r="I53" s="85">
        <v>33.6</v>
      </c>
      <c r="J53" s="85">
        <v>92</v>
      </c>
      <c r="K53" s="85"/>
      <c r="L53" s="85"/>
      <c r="M53" s="85"/>
      <c r="N53" s="85"/>
      <c r="O53" s="85">
        <f t="shared" si="1"/>
        <v>84</v>
      </c>
      <c r="P53" s="50">
        <f t="shared" si="2"/>
        <v>0</v>
      </c>
      <c r="Q53" s="70">
        <f t="shared" si="3"/>
        <v>0</v>
      </c>
      <c r="R53" s="70">
        <f t="shared" si="4"/>
        <v>0</v>
      </c>
      <c r="S53" s="70">
        <f t="shared" si="5"/>
        <v>0</v>
      </c>
      <c r="T53" s="70">
        <f t="shared" si="6"/>
        <v>0</v>
      </c>
      <c r="U53" s="70">
        <f t="shared" si="7"/>
        <v>0</v>
      </c>
      <c r="V53" s="70">
        <f t="shared" si="8"/>
        <v>0</v>
      </c>
      <c r="W53" s="70">
        <f t="shared" si="9"/>
        <v>0</v>
      </c>
      <c r="X53" s="85"/>
      <c r="Y53" s="85">
        <v>0.6</v>
      </c>
      <c r="Z53" s="85">
        <v>0.6</v>
      </c>
      <c r="AA53" s="86">
        <f t="shared" si="10"/>
        <v>0</v>
      </c>
      <c r="AB53" s="86">
        <f t="shared" si="11"/>
        <v>0</v>
      </c>
      <c r="AC53" s="76"/>
      <c r="AD53" s="76"/>
      <c r="AE53" s="76"/>
      <c r="AF53" s="76"/>
      <c r="AG53" s="76"/>
      <c r="AH53" s="76"/>
    </row>
    <row r="54" spans="1:34" s="11" customFormat="1" ht="21" x14ac:dyDescent="0.25">
      <c r="A54" s="85" t="s">
        <v>231</v>
      </c>
      <c r="B54" s="85" t="s">
        <v>62</v>
      </c>
      <c r="C54" s="85" t="s">
        <v>57</v>
      </c>
      <c r="D54" s="111"/>
      <c r="E54" s="111"/>
      <c r="F54" s="85">
        <v>350</v>
      </c>
      <c r="G54" s="85">
        <v>26</v>
      </c>
      <c r="H54" s="85">
        <v>84</v>
      </c>
      <c r="I54" s="85">
        <v>33.6</v>
      </c>
      <c r="J54" s="85">
        <v>92</v>
      </c>
      <c r="K54" s="85"/>
      <c r="L54" s="85"/>
      <c r="M54" s="85"/>
      <c r="N54" s="85"/>
      <c r="O54" s="85">
        <f t="shared" si="1"/>
        <v>84</v>
      </c>
      <c r="P54" s="50">
        <f t="shared" si="2"/>
        <v>0</v>
      </c>
      <c r="Q54" s="70">
        <f t="shared" si="3"/>
        <v>0</v>
      </c>
      <c r="R54" s="70">
        <f t="shared" si="4"/>
        <v>0</v>
      </c>
      <c r="S54" s="70">
        <f t="shared" si="5"/>
        <v>0</v>
      </c>
      <c r="T54" s="70">
        <f t="shared" si="6"/>
        <v>0</v>
      </c>
      <c r="U54" s="70">
        <f t="shared" si="7"/>
        <v>0</v>
      </c>
      <c r="V54" s="70">
        <f t="shared" si="8"/>
        <v>0</v>
      </c>
      <c r="W54" s="70">
        <f t="shared" si="9"/>
        <v>0</v>
      </c>
      <c r="X54" s="85"/>
      <c r="Y54" s="85">
        <v>0.6</v>
      </c>
      <c r="Z54" s="85">
        <v>0.6</v>
      </c>
      <c r="AA54" s="86">
        <f t="shared" si="10"/>
        <v>0</v>
      </c>
      <c r="AB54" s="86">
        <f t="shared" si="11"/>
        <v>0</v>
      </c>
      <c r="AC54" s="76"/>
      <c r="AD54" s="76"/>
      <c r="AE54" s="76"/>
      <c r="AF54" s="76"/>
      <c r="AG54" s="76"/>
      <c r="AH54" s="76"/>
    </row>
    <row r="55" spans="1:34" s="11" customFormat="1" ht="21" x14ac:dyDescent="0.25">
      <c r="A55" s="85" t="s">
        <v>237</v>
      </c>
      <c r="B55" s="85" t="s">
        <v>62</v>
      </c>
      <c r="C55" s="85" t="s">
        <v>57</v>
      </c>
      <c r="D55" s="111"/>
      <c r="E55" s="111"/>
      <c r="F55" s="85">
        <v>350</v>
      </c>
      <c r="G55" s="85">
        <v>26</v>
      </c>
      <c r="H55" s="85">
        <v>84</v>
      </c>
      <c r="I55" s="85">
        <v>33.6</v>
      </c>
      <c r="J55" s="85">
        <v>92</v>
      </c>
      <c r="K55" s="85"/>
      <c r="L55" s="85"/>
      <c r="M55" s="85"/>
      <c r="N55" s="85"/>
      <c r="O55" s="85">
        <f t="shared" si="1"/>
        <v>84</v>
      </c>
      <c r="P55" s="50">
        <f t="shared" si="2"/>
        <v>0</v>
      </c>
      <c r="Q55" s="70">
        <f t="shared" si="3"/>
        <v>0</v>
      </c>
      <c r="R55" s="70">
        <f t="shared" si="4"/>
        <v>0</v>
      </c>
      <c r="S55" s="70">
        <f t="shared" si="5"/>
        <v>0</v>
      </c>
      <c r="T55" s="70">
        <f t="shared" si="6"/>
        <v>0</v>
      </c>
      <c r="U55" s="70">
        <f t="shared" si="7"/>
        <v>0</v>
      </c>
      <c r="V55" s="70">
        <f t="shared" si="8"/>
        <v>0</v>
      </c>
      <c r="W55" s="70">
        <f t="shared" si="9"/>
        <v>0</v>
      </c>
      <c r="X55" s="85"/>
      <c r="Y55" s="85">
        <v>0.6</v>
      </c>
      <c r="Z55" s="85">
        <v>0.6</v>
      </c>
      <c r="AA55" s="86">
        <f t="shared" si="10"/>
        <v>0</v>
      </c>
      <c r="AB55" s="86">
        <f t="shared" si="11"/>
        <v>0</v>
      </c>
      <c r="AC55" s="76"/>
      <c r="AD55" s="76"/>
      <c r="AE55" s="76"/>
      <c r="AF55" s="76"/>
      <c r="AG55" s="76"/>
      <c r="AH55" s="76"/>
    </row>
    <row r="56" spans="1:34" s="11" customFormat="1" ht="21" x14ac:dyDescent="0.25">
      <c r="A56" s="85" t="s">
        <v>231</v>
      </c>
      <c r="B56" s="85" t="s">
        <v>62</v>
      </c>
      <c r="C56" s="85" t="s">
        <v>49</v>
      </c>
      <c r="D56" s="111"/>
      <c r="E56" s="111"/>
      <c r="F56" s="85">
        <v>350</v>
      </c>
      <c r="G56" s="85">
        <v>2.8</v>
      </c>
      <c r="H56" s="85">
        <v>12</v>
      </c>
      <c r="I56" s="85">
        <v>4.8</v>
      </c>
      <c r="J56" s="85">
        <v>8.6</v>
      </c>
      <c r="K56" s="85">
        <v>24</v>
      </c>
      <c r="L56" s="85">
        <v>72</v>
      </c>
      <c r="M56" s="85">
        <v>28.8</v>
      </c>
      <c r="N56" s="85">
        <v>83.4</v>
      </c>
      <c r="O56" s="85">
        <f t="shared" si="1"/>
        <v>84</v>
      </c>
      <c r="P56" s="50">
        <f t="shared" si="2"/>
        <v>0</v>
      </c>
      <c r="Q56" s="70">
        <f t="shared" si="3"/>
        <v>0</v>
      </c>
      <c r="R56" s="70">
        <f t="shared" si="4"/>
        <v>0</v>
      </c>
      <c r="S56" s="70">
        <f t="shared" si="5"/>
        <v>0</v>
      </c>
      <c r="T56" s="70">
        <f t="shared" si="6"/>
        <v>0</v>
      </c>
      <c r="U56" s="70">
        <f t="shared" si="7"/>
        <v>0</v>
      </c>
      <c r="V56" s="70">
        <f t="shared" si="8"/>
        <v>0</v>
      </c>
      <c r="W56" s="70">
        <f t="shared" si="9"/>
        <v>0</v>
      </c>
      <c r="X56" s="85"/>
      <c r="Y56" s="85">
        <v>0.6</v>
      </c>
      <c r="Z56" s="85">
        <v>0.6</v>
      </c>
      <c r="AA56" s="86">
        <f t="shared" si="10"/>
        <v>0</v>
      </c>
      <c r="AB56" s="86">
        <f t="shared" si="11"/>
        <v>0</v>
      </c>
      <c r="AC56" s="76"/>
      <c r="AD56" s="76"/>
      <c r="AE56" s="76"/>
      <c r="AF56" s="76"/>
      <c r="AG56" s="76"/>
      <c r="AH56" s="76"/>
    </row>
    <row r="57" spans="1:34" s="11" customFormat="1" ht="21" x14ac:dyDescent="0.25">
      <c r="A57" s="85" t="s">
        <v>237</v>
      </c>
      <c r="B57" s="85" t="s">
        <v>62</v>
      </c>
      <c r="C57" s="85" t="s">
        <v>49</v>
      </c>
      <c r="D57" s="111"/>
      <c r="E57" s="111"/>
      <c r="F57" s="85">
        <v>350</v>
      </c>
      <c r="G57" s="85">
        <v>2.8</v>
      </c>
      <c r="H57" s="85">
        <v>12</v>
      </c>
      <c r="I57" s="85">
        <v>4.8</v>
      </c>
      <c r="J57" s="85">
        <v>8.6</v>
      </c>
      <c r="K57" s="85">
        <v>24</v>
      </c>
      <c r="L57" s="85">
        <v>72</v>
      </c>
      <c r="M57" s="85">
        <v>28.8</v>
      </c>
      <c r="N57" s="85">
        <v>83.4</v>
      </c>
      <c r="O57" s="85">
        <f t="shared" si="1"/>
        <v>84</v>
      </c>
      <c r="P57" s="50">
        <f t="shared" si="2"/>
        <v>0</v>
      </c>
      <c r="Q57" s="70">
        <f t="shared" si="3"/>
        <v>0</v>
      </c>
      <c r="R57" s="70">
        <f t="shared" si="4"/>
        <v>0</v>
      </c>
      <c r="S57" s="70">
        <f t="shared" si="5"/>
        <v>0</v>
      </c>
      <c r="T57" s="70">
        <f t="shared" si="6"/>
        <v>0</v>
      </c>
      <c r="U57" s="70">
        <f t="shared" si="7"/>
        <v>0</v>
      </c>
      <c r="V57" s="70">
        <f t="shared" si="8"/>
        <v>0</v>
      </c>
      <c r="W57" s="70">
        <f t="shared" si="9"/>
        <v>0</v>
      </c>
      <c r="X57" s="85"/>
      <c r="Y57" s="85">
        <v>0.6</v>
      </c>
      <c r="Z57" s="85">
        <v>0.6</v>
      </c>
      <c r="AA57" s="86">
        <f t="shared" si="10"/>
        <v>0</v>
      </c>
      <c r="AB57" s="86">
        <f t="shared" si="11"/>
        <v>0</v>
      </c>
      <c r="AC57" s="76"/>
      <c r="AD57" s="76"/>
      <c r="AE57" s="76"/>
      <c r="AF57" s="76"/>
      <c r="AG57" s="76"/>
      <c r="AH57" s="76"/>
    </row>
    <row r="58" spans="1:34" s="11" customFormat="1" ht="21" x14ac:dyDescent="0.25">
      <c r="A58" s="85" t="s">
        <v>231</v>
      </c>
      <c r="B58" s="85" t="s">
        <v>62</v>
      </c>
      <c r="C58" s="85" t="s">
        <v>126</v>
      </c>
      <c r="D58" s="111"/>
      <c r="E58" s="111"/>
      <c r="F58" s="85">
        <v>350</v>
      </c>
      <c r="G58" s="85"/>
      <c r="H58" s="85"/>
      <c r="I58" s="85"/>
      <c r="J58" s="85"/>
      <c r="K58" s="85">
        <v>26.8</v>
      </c>
      <c r="L58" s="85">
        <v>84</v>
      </c>
      <c r="M58" s="85">
        <v>33.6</v>
      </c>
      <c r="N58" s="85">
        <v>92</v>
      </c>
      <c r="O58" s="85">
        <f t="shared" si="1"/>
        <v>84</v>
      </c>
      <c r="P58" s="50">
        <f t="shared" si="2"/>
        <v>0</v>
      </c>
      <c r="Q58" s="70">
        <f t="shared" si="3"/>
        <v>0</v>
      </c>
      <c r="R58" s="70">
        <f t="shared" si="4"/>
        <v>0</v>
      </c>
      <c r="S58" s="70">
        <f t="shared" si="5"/>
        <v>0</v>
      </c>
      <c r="T58" s="70">
        <f t="shared" si="6"/>
        <v>0</v>
      </c>
      <c r="U58" s="70">
        <f t="shared" si="7"/>
        <v>0</v>
      </c>
      <c r="V58" s="70">
        <f t="shared" si="8"/>
        <v>0</v>
      </c>
      <c r="W58" s="70">
        <f t="shared" si="9"/>
        <v>0</v>
      </c>
      <c r="X58" s="85"/>
      <c r="Y58" s="85">
        <v>0.6</v>
      </c>
      <c r="Z58" s="85">
        <v>0.6</v>
      </c>
      <c r="AA58" s="86">
        <f t="shared" si="10"/>
        <v>0</v>
      </c>
      <c r="AB58" s="86">
        <f t="shared" si="11"/>
        <v>0</v>
      </c>
      <c r="AC58" s="76"/>
      <c r="AD58" s="76"/>
      <c r="AE58" s="76"/>
      <c r="AF58" s="76"/>
      <c r="AG58" s="76"/>
      <c r="AH58" s="76"/>
    </row>
    <row r="59" spans="1:34" s="11" customFormat="1" ht="21" x14ac:dyDescent="0.25">
      <c r="A59" s="85" t="s">
        <v>237</v>
      </c>
      <c r="B59" s="85" t="s">
        <v>62</v>
      </c>
      <c r="C59" s="85" t="s">
        <v>126</v>
      </c>
      <c r="D59" s="111"/>
      <c r="E59" s="111"/>
      <c r="F59" s="85">
        <v>350</v>
      </c>
      <c r="G59" s="85"/>
      <c r="H59" s="85"/>
      <c r="I59" s="85"/>
      <c r="J59" s="85"/>
      <c r="K59" s="85">
        <v>26.8</v>
      </c>
      <c r="L59" s="85">
        <v>84</v>
      </c>
      <c r="M59" s="85">
        <v>33.6</v>
      </c>
      <c r="N59" s="85">
        <v>92</v>
      </c>
      <c r="O59" s="85">
        <f t="shared" si="1"/>
        <v>84</v>
      </c>
      <c r="P59" s="50">
        <f t="shared" si="2"/>
        <v>0</v>
      </c>
      <c r="Q59" s="70">
        <f t="shared" si="3"/>
        <v>0</v>
      </c>
      <c r="R59" s="70">
        <f t="shared" si="4"/>
        <v>0</v>
      </c>
      <c r="S59" s="70">
        <f t="shared" si="5"/>
        <v>0</v>
      </c>
      <c r="T59" s="70">
        <f t="shared" si="6"/>
        <v>0</v>
      </c>
      <c r="U59" s="70">
        <f t="shared" si="7"/>
        <v>0</v>
      </c>
      <c r="V59" s="70">
        <f t="shared" si="8"/>
        <v>0</v>
      </c>
      <c r="W59" s="70">
        <f t="shared" si="9"/>
        <v>0</v>
      </c>
      <c r="X59" s="85"/>
      <c r="Y59" s="85">
        <v>0.6</v>
      </c>
      <c r="Z59" s="85">
        <v>0.6</v>
      </c>
      <c r="AA59" s="86">
        <f t="shared" si="10"/>
        <v>0</v>
      </c>
      <c r="AB59" s="86">
        <f t="shared" si="11"/>
        <v>0</v>
      </c>
      <c r="AC59" s="76"/>
      <c r="AD59" s="76"/>
      <c r="AE59" s="76"/>
      <c r="AF59" s="76"/>
      <c r="AG59" s="76"/>
      <c r="AH59" s="76"/>
    </row>
    <row r="60" spans="1:34" s="11" customFormat="1" ht="21" x14ac:dyDescent="0.25">
      <c r="A60" s="85" t="s">
        <v>231</v>
      </c>
      <c r="B60" s="85" t="s">
        <v>62</v>
      </c>
      <c r="C60" s="85" t="s">
        <v>58</v>
      </c>
      <c r="D60" s="111"/>
      <c r="E60" s="111"/>
      <c r="F60" s="85">
        <v>350</v>
      </c>
      <c r="G60" s="85">
        <v>13</v>
      </c>
      <c r="H60" s="85">
        <v>43</v>
      </c>
      <c r="I60" s="85">
        <v>17.2</v>
      </c>
      <c r="J60" s="85">
        <v>29.6</v>
      </c>
      <c r="K60" s="85">
        <v>27.4</v>
      </c>
      <c r="L60" s="85">
        <v>41</v>
      </c>
      <c r="M60" s="85">
        <v>16.399999999999999</v>
      </c>
      <c r="N60" s="85">
        <v>62.4</v>
      </c>
      <c r="O60" s="85">
        <f t="shared" si="1"/>
        <v>84</v>
      </c>
      <c r="P60" s="50">
        <f t="shared" si="2"/>
        <v>0</v>
      </c>
      <c r="Q60" s="70">
        <f t="shared" si="3"/>
        <v>0</v>
      </c>
      <c r="R60" s="70">
        <f t="shared" si="4"/>
        <v>0</v>
      </c>
      <c r="S60" s="70">
        <f t="shared" si="5"/>
        <v>0</v>
      </c>
      <c r="T60" s="70">
        <f t="shared" si="6"/>
        <v>0</v>
      </c>
      <c r="U60" s="70">
        <f t="shared" si="7"/>
        <v>0</v>
      </c>
      <c r="V60" s="70">
        <f t="shared" si="8"/>
        <v>0</v>
      </c>
      <c r="W60" s="70">
        <f t="shared" si="9"/>
        <v>0</v>
      </c>
      <c r="X60" s="85"/>
      <c r="Y60" s="85">
        <v>0.6</v>
      </c>
      <c r="Z60" s="85">
        <v>0.6</v>
      </c>
      <c r="AA60" s="86">
        <f t="shared" si="10"/>
        <v>0</v>
      </c>
      <c r="AB60" s="86">
        <f t="shared" si="11"/>
        <v>0</v>
      </c>
      <c r="AC60" s="76"/>
      <c r="AD60" s="76"/>
      <c r="AE60" s="76"/>
      <c r="AF60" s="76"/>
      <c r="AG60" s="76"/>
      <c r="AH60" s="76"/>
    </row>
    <row r="61" spans="1:34" s="11" customFormat="1" ht="21" x14ac:dyDescent="0.25">
      <c r="A61" s="85" t="s">
        <v>237</v>
      </c>
      <c r="B61" s="85" t="s">
        <v>62</v>
      </c>
      <c r="C61" s="85" t="s">
        <v>58</v>
      </c>
      <c r="D61" s="111"/>
      <c r="E61" s="111"/>
      <c r="F61" s="85">
        <v>350</v>
      </c>
      <c r="G61" s="85">
        <v>13</v>
      </c>
      <c r="H61" s="85">
        <v>43</v>
      </c>
      <c r="I61" s="85">
        <v>17.2</v>
      </c>
      <c r="J61" s="85">
        <v>29.6</v>
      </c>
      <c r="K61" s="85">
        <v>27.4</v>
      </c>
      <c r="L61" s="85">
        <v>41</v>
      </c>
      <c r="M61" s="85">
        <v>16.399999999999999</v>
      </c>
      <c r="N61" s="85">
        <v>62.4</v>
      </c>
      <c r="O61" s="85">
        <f t="shared" si="1"/>
        <v>84</v>
      </c>
      <c r="P61" s="50">
        <f t="shared" si="2"/>
        <v>0</v>
      </c>
      <c r="Q61" s="70">
        <f t="shared" si="3"/>
        <v>0</v>
      </c>
      <c r="R61" s="70">
        <f t="shared" si="4"/>
        <v>0</v>
      </c>
      <c r="S61" s="70">
        <f t="shared" si="5"/>
        <v>0</v>
      </c>
      <c r="T61" s="70">
        <f t="shared" si="6"/>
        <v>0</v>
      </c>
      <c r="U61" s="70">
        <f t="shared" si="7"/>
        <v>0</v>
      </c>
      <c r="V61" s="70">
        <f t="shared" si="8"/>
        <v>0</v>
      </c>
      <c r="W61" s="70">
        <f t="shared" si="9"/>
        <v>0</v>
      </c>
      <c r="X61" s="85"/>
      <c r="Y61" s="85">
        <v>0.6</v>
      </c>
      <c r="Z61" s="85">
        <v>0.6</v>
      </c>
      <c r="AA61" s="86">
        <f t="shared" si="10"/>
        <v>0</v>
      </c>
      <c r="AB61" s="86">
        <f t="shared" si="11"/>
        <v>0</v>
      </c>
      <c r="AC61" s="76"/>
      <c r="AD61" s="76"/>
      <c r="AE61" s="76"/>
      <c r="AF61" s="76"/>
      <c r="AG61" s="76"/>
      <c r="AH61" s="76"/>
    </row>
    <row r="62" spans="1:34" s="11" customFormat="1" ht="21" x14ac:dyDescent="0.25">
      <c r="A62" s="85" t="s">
        <v>229</v>
      </c>
      <c r="B62" s="85" t="s">
        <v>142</v>
      </c>
      <c r="C62" s="85" t="s">
        <v>56</v>
      </c>
      <c r="D62" s="111"/>
      <c r="E62" s="111"/>
      <c r="F62" s="85">
        <v>425</v>
      </c>
      <c r="G62" s="85">
        <v>3.2</v>
      </c>
      <c r="H62" s="85">
        <v>26</v>
      </c>
      <c r="I62" s="85">
        <v>10.4</v>
      </c>
      <c r="J62" s="85">
        <v>18.2</v>
      </c>
      <c r="K62" s="85">
        <v>23.5</v>
      </c>
      <c r="L62" s="85">
        <v>94</v>
      </c>
      <c r="M62" s="85">
        <v>37.6</v>
      </c>
      <c r="N62" s="85">
        <v>108.8</v>
      </c>
      <c r="O62" s="85">
        <f t="shared" si="1"/>
        <v>120</v>
      </c>
      <c r="P62" s="50">
        <f t="shared" si="2"/>
        <v>0</v>
      </c>
      <c r="Q62" s="70">
        <f t="shared" si="3"/>
        <v>0</v>
      </c>
      <c r="R62" s="70">
        <f t="shared" si="4"/>
        <v>0</v>
      </c>
      <c r="S62" s="70">
        <f t="shared" si="5"/>
        <v>0</v>
      </c>
      <c r="T62" s="70">
        <f t="shared" si="6"/>
        <v>0</v>
      </c>
      <c r="U62" s="70">
        <f t="shared" si="7"/>
        <v>0</v>
      </c>
      <c r="V62" s="70">
        <f t="shared" si="8"/>
        <v>0</v>
      </c>
      <c r="W62" s="70">
        <f t="shared" si="9"/>
        <v>0</v>
      </c>
      <c r="X62" s="85"/>
      <c r="Y62" s="85">
        <v>0.6</v>
      </c>
      <c r="Z62" s="85">
        <v>0.6</v>
      </c>
      <c r="AA62" s="86">
        <f t="shared" si="10"/>
        <v>0</v>
      </c>
      <c r="AB62" s="86">
        <f t="shared" si="11"/>
        <v>0</v>
      </c>
      <c r="AC62" s="76"/>
      <c r="AD62" s="76"/>
      <c r="AE62" s="76"/>
      <c r="AF62" s="76"/>
      <c r="AG62" s="76"/>
      <c r="AH62" s="76"/>
    </row>
    <row r="63" spans="1:34" s="11" customFormat="1" ht="21" x14ac:dyDescent="0.25">
      <c r="A63" s="85" t="s">
        <v>229</v>
      </c>
      <c r="B63" s="85" t="s">
        <v>142</v>
      </c>
      <c r="C63" s="85" t="s">
        <v>127</v>
      </c>
      <c r="D63" s="111"/>
      <c r="E63" s="111"/>
      <c r="F63" s="85">
        <v>425</v>
      </c>
      <c r="G63" s="85"/>
      <c r="H63" s="85"/>
      <c r="I63" s="85"/>
      <c r="J63" s="85"/>
      <c r="K63" s="85">
        <v>26.7</v>
      </c>
      <c r="L63" s="85">
        <v>120</v>
      </c>
      <c r="M63" s="85">
        <v>48</v>
      </c>
      <c r="N63" s="85">
        <v>127</v>
      </c>
      <c r="O63" s="85">
        <f t="shared" si="1"/>
        <v>120</v>
      </c>
      <c r="P63" s="50">
        <f t="shared" si="2"/>
        <v>0</v>
      </c>
      <c r="Q63" s="70">
        <f t="shared" si="3"/>
        <v>0</v>
      </c>
      <c r="R63" s="70">
        <f t="shared" si="4"/>
        <v>0</v>
      </c>
      <c r="S63" s="70">
        <f t="shared" si="5"/>
        <v>0</v>
      </c>
      <c r="T63" s="70">
        <f t="shared" si="6"/>
        <v>0</v>
      </c>
      <c r="U63" s="70">
        <f t="shared" si="7"/>
        <v>0</v>
      </c>
      <c r="V63" s="70">
        <f t="shared" si="8"/>
        <v>0</v>
      </c>
      <c r="W63" s="70">
        <f t="shared" si="9"/>
        <v>0</v>
      </c>
      <c r="X63" s="85"/>
      <c r="Y63" s="85">
        <v>0.6</v>
      </c>
      <c r="Z63" s="85">
        <v>0.6</v>
      </c>
      <c r="AA63" s="86">
        <f t="shared" si="10"/>
        <v>0</v>
      </c>
      <c r="AB63" s="86">
        <f t="shared" si="11"/>
        <v>0</v>
      </c>
      <c r="AC63" s="76"/>
      <c r="AD63" s="76"/>
      <c r="AE63" s="76"/>
      <c r="AF63" s="76"/>
      <c r="AG63" s="76"/>
      <c r="AH63" s="76"/>
    </row>
    <row r="64" spans="1:34" s="11" customFormat="1" ht="21" x14ac:dyDescent="0.25">
      <c r="A64" s="85" t="s">
        <v>229</v>
      </c>
      <c r="B64" s="85" t="s">
        <v>142</v>
      </c>
      <c r="C64" s="85" t="s">
        <v>59</v>
      </c>
      <c r="D64" s="111"/>
      <c r="E64" s="111"/>
      <c r="F64" s="85">
        <v>425</v>
      </c>
      <c r="G64" s="85">
        <v>2.8</v>
      </c>
      <c r="H64" s="85">
        <v>17</v>
      </c>
      <c r="I64" s="85">
        <v>6.8</v>
      </c>
      <c r="J64" s="85">
        <v>14.7</v>
      </c>
      <c r="K64" s="85">
        <v>24</v>
      </c>
      <c r="L64" s="85">
        <v>103</v>
      </c>
      <c r="M64" s="85">
        <v>41.2</v>
      </c>
      <c r="N64" s="85">
        <v>112.3</v>
      </c>
      <c r="O64" s="85">
        <f t="shared" si="1"/>
        <v>120</v>
      </c>
      <c r="P64" s="50">
        <f t="shared" si="2"/>
        <v>0</v>
      </c>
      <c r="Q64" s="70">
        <f t="shared" si="3"/>
        <v>0</v>
      </c>
      <c r="R64" s="70">
        <f t="shared" si="4"/>
        <v>0</v>
      </c>
      <c r="S64" s="70">
        <f t="shared" si="5"/>
        <v>0</v>
      </c>
      <c r="T64" s="70">
        <f t="shared" si="6"/>
        <v>0</v>
      </c>
      <c r="U64" s="70">
        <f t="shared" si="7"/>
        <v>0</v>
      </c>
      <c r="V64" s="70">
        <f t="shared" si="8"/>
        <v>0</v>
      </c>
      <c r="W64" s="70">
        <f t="shared" si="9"/>
        <v>0</v>
      </c>
      <c r="X64" s="85"/>
      <c r="Y64" s="85">
        <v>0.6</v>
      </c>
      <c r="Z64" s="85">
        <v>0.6</v>
      </c>
      <c r="AA64" s="86">
        <f t="shared" si="10"/>
        <v>0</v>
      </c>
      <c r="AB64" s="86">
        <f t="shared" si="11"/>
        <v>0</v>
      </c>
      <c r="AC64" s="76"/>
      <c r="AD64" s="76"/>
      <c r="AE64" s="76"/>
      <c r="AF64" s="76"/>
      <c r="AG64" s="76"/>
      <c r="AH64" s="76"/>
    </row>
    <row r="65" spans="1:34" s="11" customFormat="1" ht="21" x14ac:dyDescent="0.25">
      <c r="A65" s="85" t="s">
        <v>229</v>
      </c>
      <c r="B65" s="85" t="s">
        <v>142</v>
      </c>
      <c r="C65" s="85" t="s">
        <v>128</v>
      </c>
      <c r="D65" s="111"/>
      <c r="E65" s="111"/>
      <c r="F65" s="85">
        <v>425</v>
      </c>
      <c r="G65" s="85"/>
      <c r="H65" s="85"/>
      <c r="I65" s="85"/>
      <c r="J65" s="85"/>
      <c r="K65" s="85">
        <v>26.8</v>
      </c>
      <c r="L65" s="85">
        <v>120</v>
      </c>
      <c r="M65" s="85">
        <v>48</v>
      </c>
      <c r="N65" s="85">
        <v>127</v>
      </c>
      <c r="O65" s="85">
        <f t="shared" si="1"/>
        <v>120</v>
      </c>
      <c r="P65" s="50">
        <f t="shared" si="2"/>
        <v>0</v>
      </c>
      <c r="Q65" s="70">
        <f t="shared" si="3"/>
        <v>0</v>
      </c>
      <c r="R65" s="70">
        <f t="shared" si="4"/>
        <v>0</v>
      </c>
      <c r="S65" s="70">
        <f t="shared" si="5"/>
        <v>0</v>
      </c>
      <c r="T65" s="70">
        <f t="shared" si="6"/>
        <v>0</v>
      </c>
      <c r="U65" s="70">
        <f t="shared" si="7"/>
        <v>0</v>
      </c>
      <c r="V65" s="70">
        <f t="shared" si="8"/>
        <v>0</v>
      </c>
      <c r="W65" s="70">
        <f t="shared" si="9"/>
        <v>0</v>
      </c>
      <c r="X65" s="85"/>
      <c r="Y65" s="85">
        <v>0.6</v>
      </c>
      <c r="Z65" s="85">
        <v>0.6</v>
      </c>
      <c r="AA65" s="86">
        <f t="shared" si="10"/>
        <v>0</v>
      </c>
      <c r="AB65" s="86">
        <f t="shared" si="11"/>
        <v>0</v>
      </c>
      <c r="AC65" s="76"/>
      <c r="AD65" s="76"/>
      <c r="AE65" s="76"/>
      <c r="AF65" s="76"/>
      <c r="AG65" s="76"/>
      <c r="AH65" s="76"/>
    </row>
    <row r="66" spans="1:34" s="11" customFormat="1" ht="21" x14ac:dyDescent="0.25">
      <c r="A66" s="85" t="s">
        <v>229</v>
      </c>
      <c r="B66" s="85" t="s">
        <v>142</v>
      </c>
      <c r="C66" s="85" t="s">
        <v>46</v>
      </c>
      <c r="D66" s="111"/>
      <c r="E66" s="111"/>
      <c r="F66" s="85">
        <v>425</v>
      </c>
      <c r="G66" s="85">
        <v>16</v>
      </c>
      <c r="H66" s="85">
        <v>61</v>
      </c>
      <c r="I66" s="85">
        <v>24.4</v>
      </c>
      <c r="J66" s="85">
        <v>68</v>
      </c>
      <c r="K66" s="85">
        <v>13.9</v>
      </c>
      <c r="L66" s="85">
        <v>59</v>
      </c>
      <c r="M66" s="85">
        <v>23.6</v>
      </c>
      <c r="N66" s="85">
        <v>59</v>
      </c>
      <c r="O66" s="85">
        <f t="shared" si="1"/>
        <v>120</v>
      </c>
      <c r="P66" s="50">
        <f t="shared" si="2"/>
        <v>0</v>
      </c>
      <c r="Q66" s="70">
        <f t="shared" si="3"/>
        <v>0</v>
      </c>
      <c r="R66" s="70">
        <f t="shared" si="4"/>
        <v>0</v>
      </c>
      <c r="S66" s="70">
        <f t="shared" si="5"/>
        <v>0</v>
      </c>
      <c r="T66" s="70">
        <f t="shared" si="6"/>
        <v>0</v>
      </c>
      <c r="U66" s="70">
        <f t="shared" si="7"/>
        <v>0</v>
      </c>
      <c r="V66" s="70">
        <f t="shared" si="8"/>
        <v>0</v>
      </c>
      <c r="W66" s="70">
        <f t="shared" si="9"/>
        <v>0</v>
      </c>
      <c r="X66" s="85"/>
      <c r="Y66" s="85">
        <v>0.6</v>
      </c>
      <c r="Z66" s="85">
        <v>0.6</v>
      </c>
      <c r="AA66" s="86">
        <f t="shared" si="10"/>
        <v>0</v>
      </c>
      <c r="AB66" s="86">
        <f t="shared" si="11"/>
        <v>0</v>
      </c>
      <c r="AC66" s="76"/>
      <c r="AD66" s="76"/>
      <c r="AE66" s="76"/>
      <c r="AF66" s="76"/>
      <c r="AG66" s="76"/>
      <c r="AH66" s="76"/>
    </row>
    <row r="67" spans="1:34" s="11" customFormat="1" ht="21" x14ac:dyDescent="0.25">
      <c r="A67" s="85" t="s">
        <v>229</v>
      </c>
      <c r="B67" s="85" t="s">
        <v>142</v>
      </c>
      <c r="C67" s="85" t="s">
        <v>47</v>
      </c>
      <c r="D67" s="111"/>
      <c r="E67" s="111"/>
      <c r="F67" s="85">
        <v>425</v>
      </c>
      <c r="G67" s="85">
        <v>9</v>
      </c>
      <c r="H67" s="85">
        <v>59</v>
      </c>
      <c r="I67" s="85">
        <v>23.6</v>
      </c>
      <c r="J67" s="85">
        <v>37.5</v>
      </c>
      <c r="K67" s="85">
        <v>21.5</v>
      </c>
      <c r="L67" s="85">
        <v>61</v>
      </c>
      <c r="M67" s="85">
        <v>24.4</v>
      </c>
      <c r="N67" s="85">
        <v>89.5</v>
      </c>
      <c r="O67" s="85">
        <f t="shared" si="1"/>
        <v>120</v>
      </c>
      <c r="P67" s="50">
        <f t="shared" si="2"/>
        <v>0</v>
      </c>
      <c r="Q67" s="70">
        <f t="shared" si="3"/>
        <v>0</v>
      </c>
      <c r="R67" s="70">
        <f t="shared" si="4"/>
        <v>0</v>
      </c>
      <c r="S67" s="70">
        <f t="shared" si="5"/>
        <v>0</v>
      </c>
      <c r="T67" s="70">
        <f t="shared" si="6"/>
        <v>0</v>
      </c>
      <c r="U67" s="70">
        <f t="shared" si="7"/>
        <v>0</v>
      </c>
      <c r="V67" s="70">
        <f t="shared" si="8"/>
        <v>0</v>
      </c>
      <c r="W67" s="70">
        <f t="shared" si="9"/>
        <v>0</v>
      </c>
      <c r="X67" s="85"/>
      <c r="Y67" s="85">
        <v>0.6</v>
      </c>
      <c r="Z67" s="85">
        <v>0.6</v>
      </c>
      <c r="AA67" s="86">
        <f t="shared" si="10"/>
        <v>0</v>
      </c>
      <c r="AB67" s="86">
        <f t="shared" si="11"/>
        <v>0</v>
      </c>
      <c r="AC67" s="76"/>
      <c r="AD67" s="76"/>
      <c r="AE67" s="76"/>
      <c r="AF67" s="76"/>
      <c r="AG67" s="76"/>
      <c r="AH67" s="76"/>
    </row>
    <row r="68" spans="1:34" s="11" customFormat="1" ht="21" x14ac:dyDescent="0.25">
      <c r="A68" s="85" t="s">
        <v>229</v>
      </c>
      <c r="B68" s="85" t="s">
        <v>142</v>
      </c>
      <c r="C68" s="85" t="s">
        <v>45</v>
      </c>
      <c r="D68" s="111"/>
      <c r="E68" s="111"/>
      <c r="F68" s="85">
        <v>425</v>
      </c>
      <c r="G68" s="85">
        <v>26</v>
      </c>
      <c r="H68" s="85">
        <v>120</v>
      </c>
      <c r="I68" s="85">
        <v>48</v>
      </c>
      <c r="J68" s="85">
        <v>127</v>
      </c>
      <c r="K68" s="85"/>
      <c r="L68" s="85"/>
      <c r="M68" s="85"/>
      <c r="N68" s="85"/>
      <c r="O68" s="85">
        <f t="shared" si="1"/>
        <v>120</v>
      </c>
      <c r="P68" s="50">
        <f t="shared" si="2"/>
        <v>0</v>
      </c>
      <c r="Q68" s="70">
        <f t="shared" si="3"/>
        <v>0</v>
      </c>
      <c r="R68" s="70">
        <f t="shared" si="4"/>
        <v>0</v>
      </c>
      <c r="S68" s="70">
        <f t="shared" si="5"/>
        <v>0</v>
      </c>
      <c r="T68" s="70">
        <f t="shared" si="6"/>
        <v>0</v>
      </c>
      <c r="U68" s="70">
        <f t="shared" si="7"/>
        <v>0</v>
      </c>
      <c r="V68" s="70">
        <f t="shared" si="8"/>
        <v>0</v>
      </c>
      <c r="W68" s="70">
        <f t="shared" si="9"/>
        <v>0</v>
      </c>
      <c r="X68" s="85"/>
      <c r="Y68" s="85">
        <v>0.6</v>
      </c>
      <c r="Z68" s="85">
        <v>0.6</v>
      </c>
      <c r="AA68" s="86">
        <f t="shared" si="10"/>
        <v>0</v>
      </c>
      <c r="AB68" s="86">
        <f t="shared" si="11"/>
        <v>0</v>
      </c>
      <c r="AC68" s="76"/>
      <c r="AD68" s="76"/>
      <c r="AE68" s="76"/>
      <c r="AF68" s="76"/>
      <c r="AG68" s="76"/>
      <c r="AH68" s="76"/>
    </row>
    <row r="69" spans="1:34" s="11" customFormat="1" ht="21" x14ac:dyDescent="0.25">
      <c r="A69" s="85" t="s">
        <v>229</v>
      </c>
      <c r="B69" s="85" t="s">
        <v>142</v>
      </c>
      <c r="C69" s="85" t="s">
        <v>57</v>
      </c>
      <c r="D69" s="111"/>
      <c r="E69" s="111"/>
      <c r="F69" s="85">
        <v>425</v>
      </c>
      <c r="G69" s="85">
        <v>26</v>
      </c>
      <c r="H69" s="85">
        <v>120</v>
      </c>
      <c r="I69" s="85">
        <v>48</v>
      </c>
      <c r="J69" s="85">
        <v>127</v>
      </c>
      <c r="K69" s="85"/>
      <c r="L69" s="85"/>
      <c r="M69" s="85"/>
      <c r="N69" s="85"/>
      <c r="O69" s="85">
        <f t="shared" si="1"/>
        <v>120</v>
      </c>
      <c r="P69" s="50">
        <f t="shared" si="2"/>
        <v>0</v>
      </c>
      <c r="Q69" s="70">
        <f t="shared" si="3"/>
        <v>0</v>
      </c>
      <c r="R69" s="70">
        <f t="shared" si="4"/>
        <v>0</v>
      </c>
      <c r="S69" s="70">
        <f t="shared" si="5"/>
        <v>0</v>
      </c>
      <c r="T69" s="70">
        <f t="shared" si="6"/>
        <v>0</v>
      </c>
      <c r="U69" s="70">
        <f t="shared" si="7"/>
        <v>0</v>
      </c>
      <c r="V69" s="70">
        <f t="shared" si="8"/>
        <v>0</v>
      </c>
      <c r="W69" s="70">
        <f t="shared" si="9"/>
        <v>0</v>
      </c>
      <c r="X69" s="85"/>
      <c r="Y69" s="85">
        <v>0.6</v>
      </c>
      <c r="Z69" s="85">
        <v>0.6</v>
      </c>
      <c r="AA69" s="86">
        <f t="shared" si="10"/>
        <v>0</v>
      </c>
      <c r="AB69" s="86">
        <f t="shared" si="11"/>
        <v>0</v>
      </c>
      <c r="AC69" s="76"/>
      <c r="AD69" s="76"/>
      <c r="AE69" s="76"/>
      <c r="AF69" s="76"/>
      <c r="AG69" s="76"/>
      <c r="AH69" s="76"/>
    </row>
    <row r="70" spans="1:34" s="11" customFormat="1" ht="21" x14ac:dyDescent="0.25">
      <c r="A70" s="85" t="s">
        <v>229</v>
      </c>
      <c r="B70" s="85" t="s">
        <v>142</v>
      </c>
      <c r="C70" s="85" t="s">
        <v>49</v>
      </c>
      <c r="D70" s="111"/>
      <c r="E70" s="111"/>
      <c r="F70" s="85">
        <v>425</v>
      </c>
      <c r="G70" s="85">
        <v>2.8</v>
      </c>
      <c r="H70" s="85">
        <v>17</v>
      </c>
      <c r="I70" s="85">
        <v>6.8</v>
      </c>
      <c r="J70" s="85">
        <v>11.9</v>
      </c>
      <c r="K70" s="85">
        <v>24</v>
      </c>
      <c r="L70" s="85">
        <v>103</v>
      </c>
      <c r="M70" s="85">
        <v>41.2</v>
      </c>
      <c r="N70" s="85">
        <v>115.1</v>
      </c>
      <c r="O70" s="85">
        <f t="shared" si="1"/>
        <v>120</v>
      </c>
      <c r="P70" s="50">
        <f t="shared" si="2"/>
        <v>0</v>
      </c>
      <c r="Q70" s="70">
        <f t="shared" si="3"/>
        <v>0</v>
      </c>
      <c r="R70" s="70">
        <f t="shared" si="4"/>
        <v>0</v>
      </c>
      <c r="S70" s="70">
        <f t="shared" si="5"/>
        <v>0</v>
      </c>
      <c r="T70" s="70">
        <f t="shared" si="6"/>
        <v>0</v>
      </c>
      <c r="U70" s="70">
        <f t="shared" si="7"/>
        <v>0</v>
      </c>
      <c r="V70" s="70">
        <f t="shared" si="8"/>
        <v>0</v>
      </c>
      <c r="W70" s="70">
        <f t="shared" si="9"/>
        <v>0</v>
      </c>
      <c r="X70" s="85"/>
      <c r="Y70" s="85">
        <v>0.6</v>
      </c>
      <c r="Z70" s="85">
        <v>0.6</v>
      </c>
      <c r="AA70" s="86">
        <f t="shared" si="10"/>
        <v>0</v>
      </c>
      <c r="AB70" s="86">
        <f t="shared" si="11"/>
        <v>0</v>
      </c>
      <c r="AC70" s="76"/>
      <c r="AD70" s="76"/>
      <c r="AE70" s="76"/>
      <c r="AF70" s="76"/>
      <c r="AG70" s="76"/>
      <c r="AH70" s="76"/>
    </row>
    <row r="71" spans="1:34" s="11" customFormat="1" ht="21" x14ac:dyDescent="0.25">
      <c r="A71" s="85" t="s">
        <v>229</v>
      </c>
      <c r="B71" s="85" t="s">
        <v>142</v>
      </c>
      <c r="C71" s="85" t="s">
        <v>126</v>
      </c>
      <c r="D71" s="111"/>
      <c r="E71" s="111"/>
      <c r="F71" s="85">
        <v>425</v>
      </c>
      <c r="G71" s="85"/>
      <c r="H71" s="85"/>
      <c r="I71" s="85"/>
      <c r="J71" s="85"/>
      <c r="K71" s="85">
        <v>26.8</v>
      </c>
      <c r="L71" s="85">
        <v>120</v>
      </c>
      <c r="M71" s="85">
        <v>48</v>
      </c>
      <c r="N71" s="85">
        <v>127</v>
      </c>
      <c r="O71" s="85">
        <f t="shared" si="1"/>
        <v>120</v>
      </c>
      <c r="P71" s="50">
        <f t="shared" si="2"/>
        <v>0</v>
      </c>
      <c r="Q71" s="70">
        <f t="shared" si="3"/>
        <v>0</v>
      </c>
      <c r="R71" s="70">
        <f t="shared" si="4"/>
        <v>0</v>
      </c>
      <c r="S71" s="70">
        <f t="shared" si="5"/>
        <v>0</v>
      </c>
      <c r="T71" s="70">
        <f t="shared" si="6"/>
        <v>0</v>
      </c>
      <c r="U71" s="70">
        <f t="shared" si="7"/>
        <v>0</v>
      </c>
      <c r="V71" s="70">
        <f t="shared" si="8"/>
        <v>0</v>
      </c>
      <c r="W71" s="70">
        <f t="shared" si="9"/>
        <v>0</v>
      </c>
      <c r="X71" s="85"/>
      <c r="Y71" s="85">
        <v>0.6</v>
      </c>
      <c r="Z71" s="85">
        <v>0.6</v>
      </c>
      <c r="AA71" s="86">
        <f t="shared" si="10"/>
        <v>0</v>
      </c>
      <c r="AB71" s="86">
        <f t="shared" si="11"/>
        <v>0</v>
      </c>
      <c r="AC71" s="76"/>
      <c r="AD71" s="76"/>
      <c r="AE71" s="76"/>
      <c r="AF71" s="76"/>
      <c r="AG71" s="76"/>
      <c r="AH71" s="76"/>
    </row>
    <row r="72" spans="1:34" s="11" customFormat="1" ht="21" x14ac:dyDescent="0.25">
      <c r="A72" s="85" t="s">
        <v>229</v>
      </c>
      <c r="B72" s="85" t="s">
        <v>142</v>
      </c>
      <c r="C72" s="85" t="s">
        <v>58</v>
      </c>
      <c r="D72" s="111"/>
      <c r="E72" s="111"/>
      <c r="F72" s="85">
        <v>425</v>
      </c>
      <c r="G72" s="85">
        <v>13</v>
      </c>
      <c r="H72" s="85">
        <v>61</v>
      </c>
      <c r="I72" s="85">
        <v>24.4</v>
      </c>
      <c r="J72" s="85">
        <v>40.9</v>
      </c>
      <c r="K72" s="85">
        <v>27.4</v>
      </c>
      <c r="L72" s="85">
        <v>59</v>
      </c>
      <c r="M72" s="85">
        <v>23.6</v>
      </c>
      <c r="N72" s="85">
        <v>86.1</v>
      </c>
      <c r="O72" s="85">
        <f t="shared" si="1"/>
        <v>120</v>
      </c>
      <c r="P72" s="50">
        <f t="shared" si="2"/>
        <v>0</v>
      </c>
      <c r="Q72" s="70">
        <f t="shared" si="3"/>
        <v>0</v>
      </c>
      <c r="R72" s="70">
        <f t="shared" si="4"/>
        <v>0</v>
      </c>
      <c r="S72" s="70">
        <f t="shared" si="5"/>
        <v>0</v>
      </c>
      <c r="T72" s="70">
        <f t="shared" si="6"/>
        <v>0</v>
      </c>
      <c r="U72" s="70">
        <f t="shared" si="7"/>
        <v>0</v>
      </c>
      <c r="V72" s="70">
        <f t="shared" si="8"/>
        <v>0</v>
      </c>
      <c r="W72" s="70">
        <f t="shared" si="9"/>
        <v>0</v>
      </c>
      <c r="X72" s="85"/>
      <c r="Y72" s="85">
        <v>0.6</v>
      </c>
      <c r="Z72" s="85">
        <v>0.6</v>
      </c>
      <c r="AA72" s="86">
        <f t="shared" si="10"/>
        <v>0</v>
      </c>
      <c r="AB72" s="86">
        <f t="shared" si="11"/>
        <v>0</v>
      </c>
      <c r="AC72" s="76"/>
      <c r="AD72" s="76"/>
      <c r="AE72" s="76"/>
      <c r="AF72" s="76"/>
      <c r="AG72" s="76"/>
      <c r="AH72" s="76"/>
    </row>
    <row r="73" spans="1:34" s="11" customFormat="1" ht="21" x14ac:dyDescent="0.25">
      <c r="A73" s="85" t="s">
        <v>235</v>
      </c>
      <c r="B73" s="85" t="s">
        <v>142</v>
      </c>
      <c r="C73" s="85" t="s">
        <v>56</v>
      </c>
      <c r="D73" s="111"/>
      <c r="E73" s="111"/>
      <c r="F73" s="85">
        <v>450</v>
      </c>
      <c r="G73" s="85">
        <v>3.2</v>
      </c>
      <c r="H73" s="85">
        <v>26</v>
      </c>
      <c r="I73" s="85">
        <v>10.4</v>
      </c>
      <c r="J73" s="85">
        <v>18.2</v>
      </c>
      <c r="K73" s="85">
        <v>23.5</v>
      </c>
      <c r="L73" s="85">
        <v>94</v>
      </c>
      <c r="M73" s="85">
        <v>37.6</v>
      </c>
      <c r="N73" s="85">
        <v>108.8</v>
      </c>
      <c r="O73" s="85">
        <f t="shared" si="0"/>
        <v>120</v>
      </c>
      <c r="P73" s="50">
        <f t="shared" ref="P73:P136" si="12">IF(E73="SI", D73*F73/1000*K73, 0)</f>
        <v>0</v>
      </c>
      <c r="Q73" s="70">
        <f t="shared" ref="Q73:Q136" si="13">(D73*F73/1000*G73)+P73</f>
        <v>0</v>
      </c>
      <c r="R73" s="70">
        <f t="shared" ref="R73:R136" si="14">(D73*F73/1000*K73)-P73</f>
        <v>0</v>
      </c>
      <c r="S73" s="70">
        <f t="shared" ref="S73:S136" si="15">IF(P73=0,H73*D73*F73/1000,((H73*D73*F73/1000)+(L73*D73*F73/1000)))</f>
        <v>0</v>
      </c>
      <c r="T73" s="70">
        <f t="shared" ref="T73:T136" si="16">IF(P73=0, L73*D73*F73/1000, 0)</f>
        <v>0</v>
      </c>
      <c r="U73" s="70">
        <f t="shared" ref="U73:U136" si="17">D73*F73/1000</f>
        <v>0</v>
      </c>
      <c r="V73" s="70">
        <f t="shared" ref="V73:V136" si="18">D73*F73*I73/1000+D73*F73/1000*M73</f>
        <v>0</v>
      </c>
      <c r="W73" s="70">
        <f t="shared" ref="W73:W136" si="19">D73*F73*J73/1000+D73*F73/1000*N73</f>
        <v>0</v>
      </c>
      <c r="X73" s="85"/>
      <c r="Y73" s="85">
        <v>0.6</v>
      </c>
      <c r="Z73" s="85">
        <v>0.6</v>
      </c>
      <c r="AA73" s="86">
        <f t="shared" ref="AA73:AA136" si="20">Y73*D73</f>
        <v>0</v>
      </c>
      <c r="AB73" s="86">
        <f t="shared" ref="AB73:AB136" si="21">Z73*D73</f>
        <v>0</v>
      </c>
      <c r="AC73" s="76"/>
      <c r="AD73" s="76"/>
      <c r="AE73" s="76"/>
      <c r="AF73" s="76"/>
      <c r="AG73" s="76"/>
      <c r="AH73" s="76"/>
    </row>
    <row r="74" spans="1:34" s="11" customFormat="1" ht="21" x14ac:dyDescent="0.25">
      <c r="A74" s="85" t="s">
        <v>235</v>
      </c>
      <c r="B74" s="85" t="s">
        <v>142</v>
      </c>
      <c r="C74" s="85" t="s">
        <v>127</v>
      </c>
      <c r="D74" s="111"/>
      <c r="E74" s="111"/>
      <c r="F74" s="85">
        <v>450</v>
      </c>
      <c r="G74" s="85"/>
      <c r="H74" s="85"/>
      <c r="I74" s="85"/>
      <c r="J74" s="85"/>
      <c r="K74" s="85">
        <v>26.7</v>
      </c>
      <c r="L74" s="85">
        <v>120</v>
      </c>
      <c r="M74" s="85">
        <v>48</v>
      </c>
      <c r="N74" s="85">
        <v>127</v>
      </c>
      <c r="O74" s="85">
        <f t="shared" si="0"/>
        <v>120</v>
      </c>
      <c r="P74" s="50">
        <f t="shared" si="12"/>
        <v>0</v>
      </c>
      <c r="Q74" s="70">
        <f t="shared" si="13"/>
        <v>0</v>
      </c>
      <c r="R74" s="70">
        <f t="shared" si="14"/>
        <v>0</v>
      </c>
      <c r="S74" s="70">
        <f t="shared" si="15"/>
        <v>0</v>
      </c>
      <c r="T74" s="70">
        <f t="shared" si="16"/>
        <v>0</v>
      </c>
      <c r="U74" s="70">
        <f t="shared" si="17"/>
        <v>0</v>
      </c>
      <c r="V74" s="70">
        <f t="shared" si="18"/>
        <v>0</v>
      </c>
      <c r="W74" s="70">
        <f t="shared" si="19"/>
        <v>0</v>
      </c>
      <c r="X74" s="85"/>
      <c r="Y74" s="85">
        <v>0.6</v>
      </c>
      <c r="Z74" s="85">
        <v>0.6</v>
      </c>
      <c r="AA74" s="86">
        <f t="shared" si="20"/>
        <v>0</v>
      </c>
      <c r="AB74" s="86">
        <f t="shared" si="21"/>
        <v>0</v>
      </c>
      <c r="AC74" s="76"/>
      <c r="AD74" s="76"/>
      <c r="AE74" s="76"/>
      <c r="AF74" s="76"/>
      <c r="AG74" s="76"/>
      <c r="AH74" s="76"/>
    </row>
    <row r="75" spans="1:34" s="11" customFormat="1" ht="21" x14ac:dyDescent="0.25">
      <c r="A75" s="85" t="s">
        <v>235</v>
      </c>
      <c r="B75" s="85" t="s">
        <v>142</v>
      </c>
      <c r="C75" s="85" t="s">
        <v>59</v>
      </c>
      <c r="D75" s="111"/>
      <c r="E75" s="111"/>
      <c r="F75" s="85">
        <v>450</v>
      </c>
      <c r="G75" s="85">
        <v>2.8</v>
      </c>
      <c r="H75" s="85">
        <v>17</v>
      </c>
      <c r="I75" s="85">
        <v>6.8</v>
      </c>
      <c r="J75" s="85">
        <v>14.7</v>
      </c>
      <c r="K75" s="85">
        <v>24</v>
      </c>
      <c r="L75" s="85">
        <v>103</v>
      </c>
      <c r="M75" s="85">
        <v>41.2</v>
      </c>
      <c r="N75" s="85">
        <v>112.3</v>
      </c>
      <c r="O75" s="85">
        <f t="shared" si="0"/>
        <v>120</v>
      </c>
      <c r="P75" s="50">
        <f t="shared" si="12"/>
        <v>0</v>
      </c>
      <c r="Q75" s="70">
        <f t="shared" si="13"/>
        <v>0</v>
      </c>
      <c r="R75" s="70">
        <f t="shared" si="14"/>
        <v>0</v>
      </c>
      <c r="S75" s="70">
        <f t="shared" si="15"/>
        <v>0</v>
      </c>
      <c r="T75" s="70">
        <f t="shared" si="16"/>
        <v>0</v>
      </c>
      <c r="U75" s="70">
        <f t="shared" si="17"/>
        <v>0</v>
      </c>
      <c r="V75" s="70">
        <f t="shared" si="18"/>
        <v>0</v>
      </c>
      <c r="W75" s="70">
        <f t="shared" si="19"/>
        <v>0</v>
      </c>
      <c r="X75" s="85"/>
      <c r="Y75" s="85">
        <v>0.6</v>
      </c>
      <c r="Z75" s="85">
        <v>0.6</v>
      </c>
      <c r="AA75" s="86">
        <f t="shared" si="20"/>
        <v>0</v>
      </c>
      <c r="AB75" s="86">
        <f t="shared" si="21"/>
        <v>0</v>
      </c>
      <c r="AC75" s="76"/>
      <c r="AD75" s="76"/>
      <c r="AE75" s="76"/>
      <c r="AF75" s="76"/>
      <c r="AG75" s="76"/>
      <c r="AH75" s="76"/>
    </row>
    <row r="76" spans="1:34" s="11" customFormat="1" ht="21" x14ac:dyDescent="0.25">
      <c r="A76" s="85" t="s">
        <v>235</v>
      </c>
      <c r="B76" s="85" t="s">
        <v>142</v>
      </c>
      <c r="C76" s="85" t="s">
        <v>128</v>
      </c>
      <c r="D76" s="111"/>
      <c r="E76" s="111"/>
      <c r="F76" s="85">
        <v>450</v>
      </c>
      <c r="G76" s="85"/>
      <c r="H76" s="85"/>
      <c r="I76" s="85"/>
      <c r="J76" s="85"/>
      <c r="K76" s="85">
        <v>26.8</v>
      </c>
      <c r="L76" s="85">
        <v>120</v>
      </c>
      <c r="M76" s="85">
        <v>48</v>
      </c>
      <c r="N76" s="85">
        <v>127</v>
      </c>
      <c r="O76" s="85">
        <f t="shared" si="0"/>
        <v>120</v>
      </c>
      <c r="P76" s="50">
        <f t="shared" si="12"/>
        <v>0</v>
      </c>
      <c r="Q76" s="70">
        <f t="shared" si="13"/>
        <v>0</v>
      </c>
      <c r="R76" s="70">
        <f t="shared" si="14"/>
        <v>0</v>
      </c>
      <c r="S76" s="70">
        <f t="shared" si="15"/>
        <v>0</v>
      </c>
      <c r="T76" s="70">
        <f t="shared" si="16"/>
        <v>0</v>
      </c>
      <c r="U76" s="70">
        <f t="shared" si="17"/>
        <v>0</v>
      </c>
      <c r="V76" s="70">
        <f t="shared" si="18"/>
        <v>0</v>
      </c>
      <c r="W76" s="70">
        <f t="shared" si="19"/>
        <v>0</v>
      </c>
      <c r="X76" s="85"/>
      <c r="Y76" s="85">
        <v>0.6</v>
      </c>
      <c r="Z76" s="85">
        <v>0.6</v>
      </c>
      <c r="AA76" s="86">
        <f t="shared" si="20"/>
        <v>0</v>
      </c>
      <c r="AB76" s="86">
        <f t="shared" si="21"/>
        <v>0</v>
      </c>
      <c r="AC76" s="76"/>
      <c r="AD76" s="76"/>
      <c r="AE76" s="76"/>
      <c r="AF76" s="76"/>
      <c r="AG76" s="76"/>
      <c r="AH76" s="76"/>
    </row>
    <row r="77" spans="1:34" s="11" customFormat="1" ht="21" x14ac:dyDescent="0.25">
      <c r="A77" s="85" t="s">
        <v>235</v>
      </c>
      <c r="B77" s="85" t="s">
        <v>142</v>
      </c>
      <c r="C77" s="85" t="s">
        <v>46</v>
      </c>
      <c r="D77" s="111"/>
      <c r="E77" s="111"/>
      <c r="F77" s="85">
        <v>450</v>
      </c>
      <c r="G77" s="85">
        <v>16</v>
      </c>
      <c r="H77" s="85">
        <v>61</v>
      </c>
      <c r="I77" s="85">
        <v>24.4</v>
      </c>
      <c r="J77" s="85">
        <v>68</v>
      </c>
      <c r="K77" s="85">
        <v>13.9</v>
      </c>
      <c r="L77" s="85">
        <v>59</v>
      </c>
      <c r="M77" s="85">
        <v>23.6</v>
      </c>
      <c r="N77" s="85">
        <v>59</v>
      </c>
      <c r="O77" s="85">
        <f t="shared" si="0"/>
        <v>120</v>
      </c>
      <c r="P77" s="50">
        <f t="shared" si="12"/>
        <v>0</v>
      </c>
      <c r="Q77" s="70">
        <f t="shared" si="13"/>
        <v>0</v>
      </c>
      <c r="R77" s="70">
        <f t="shared" si="14"/>
        <v>0</v>
      </c>
      <c r="S77" s="70">
        <f t="shared" si="15"/>
        <v>0</v>
      </c>
      <c r="T77" s="70">
        <f t="shared" si="16"/>
        <v>0</v>
      </c>
      <c r="U77" s="70">
        <f t="shared" si="17"/>
        <v>0</v>
      </c>
      <c r="V77" s="70">
        <f t="shared" si="18"/>
        <v>0</v>
      </c>
      <c r="W77" s="70">
        <f t="shared" si="19"/>
        <v>0</v>
      </c>
      <c r="X77" s="85"/>
      <c r="Y77" s="85">
        <v>0.6</v>
      </c>
      <c r="Z77" s="85">
        <v>0.6</v>
      </c>
      <c r="AA77" s="86">
        <f t="shared" si="20"/>
        <v>0</v>
      </c>
      <c r="AB77" s="86">
        <f t="shared" si="21"/>
        <v>0</v>
      </c>
      <c r="AC77" s="76"/>
      <c r="AD77" s="76"/>
      <c r="AE77" s="76"/>
      <c r="AF77" s="76"/>
      <c r="AG77" s="76"/>
      <c r="AH77" s="76"/>
    </row>
    <row r="78" spans="1:34" s="11" customFormat="1" ht="21" x14ac:dyDescent="0.25">
      <c r="A78" s="85" t="s">
        <v>235</v>
      </c>
      <c r="B78" s="85" t="s">
        <v>142</v>
      </c>
      <c r="C78" s="85" t="s">
        <v>47</v>
      </c>
      <c r="D78" s="111"/>
      <c r="E78" s="111"/>
      <c r="F78" s="85">
        <v>450</v>
      </c>
      <c r="G78" s="85">
        <v>9</v>
      </c>
      <c r="H78" s="85">
        <v>59</v>
      </c>
      <c r="I78" s="85">
        <v>23.6</v>
      </c>
      <c r="J78" s="85">
        <v>37.5</v>
      </c>
      <c r="K78" s="85">
        <v>21.5</v>
      </c>
      <c r="L78" s="85">
        <v>61</v>
      </c>
      <c r="M78" s="85">
        <v>24.4</v>
      </c>
      <c r="N78" s="85">
        <v>89.5</v>
      </c>
      <c r="O78" s="85">
        <f t="shared" si="0"/>
        <v>120</v>
      </c>
      <c r="P78" s="50">
        <f t="shared" si="12"/>
        <v>0</v>
      </c>
      <c r="Q78" s="70">
        <f t="shared" si="13"/>
        <v>0</v>
      </c>
      <c r="R78" s="70">
        <f t="shared" si="14"/>
        <v>0</v>
      </c>
      <c r="S78" s="70">
        <f t="shared" si="15"/>
        <v>0</v>
      </c>
      <c r="T78" s="70">
        <f t="shared" si="16"/>
        <v>0</v>
      </c>
      <c r="U78" s="70">
        <f t="shared" si="17"/>
        <v>0</v>
      </c>
      <c r="V78" s="70">
        <f t="shared" si="18"/>
        <v>0</v>
      </c>
      <c r="W78" s="70">
        <f t="shared" si="19"/>
        <v>0</v>
      </c>
      <c r="X78" s="85"/>
      <c r="Y78" s="85">
        <v>0.6</v>
      </c>
      <c r="Z78" s="85">
        <v>0.6</v>
      </c>
      <c r="AA78" s="86">
        <f t="shared" si="20"/>
        <v>0</v>
      </c>
      <c r="AB78" s="86">
        <f t="shared" si="21"/>
        <v>0</v>
      </c>
      <c r="AC78" s="76"/>
      <c r="AD78" s="76"/>
      <c r="AE78" s="76"/>
      <c r="AF78" s="76"/>
      <c r="AG78" s="76"/>
      <c r="AH78" s="76"/>
    </row>
    <row r="79" spans="1:34" s="11" customFormat="1" ht="21" x14ac:dyDescent="0.25">
      <c r="A79" s="85" t="s">
        <v>235</v>
      </c>
      <c r="B79" s="85" t="s">
        <v>142</v>
      </c>
      <c r="C79" s="85" t="s">
        <v>45</v>
      </c>
      <c r="D79" s="111"/>
      <c r="E79" s="111"/>
      <c r="F79" s="85">
        <v>450</v>
      </c>
      <c r="G79" s="85">
        <v>26</v>
      </c>
      <c r="H79" s="85">
        <v>120</v>
      </c>
      <c r="I79" s="85">
        <v>48</v>
      </c>
      <c r="J79" s="85">
        <v>127</v>
      </c>
      <c r="K79" s="85"/>
      <c r="L79" s="85"/>
      <c r="M79" s="85"/>
      <c r="N79" s="85"/>
      <c r="O79" s="85">
        <f t="shared" si="0"/>
        <v>120</v>
      </c>
      <c r="P79" s="50">
        <f t="shared" si="12"/>
        <v>0</v>
      </c>
      <c r="Q79" s="70">
        <f t="shared" si="13"/>
        <v>0</v>
      </c>
      <c r="R79" s="70">
        <f t="shared" si="14"/>
        <v>0</v>
      </c>
      <c r="S79" s="70">
        <f t="shared" si="15"/>
        <v>0</v>
      </c>
      <c r="T79" s="70">
        <f t="shared" si="16"/>
        <v>0</v>
      </c>
      <c r="U79" s="70">
        <f t="shared" si="17"/>
        <v>0</v>
      </c>
      <c r="V79" s="70">
        <f t="shared" si="18"/>
        <v>0</v>
      </c>
      <c r="W79" s="70">
        <f t="shared" si="19"/>
        <v>0</v>
      </c>
      <c r="X79" s="85"/>
      <c r="Y79" s="85">
        <v>0.6</v>
      </c>
      <c r="Z79" s="85">
        <v>0.6</v>
      </c>
      <c r="AA79" s="86">
        <f t="shared" si="20"/>
        <v>0</v>
      </c>
      <c r="AB79" s="86">
        <f t="shared" si="21"/>
        <v>0</v>
      </c>
      <c r="AC79" s="76"/>
      <c r="AD79" s="76"/>
      <c r="AE79" s="76"/>
      <c r="AF79" s="76"/>
      <c r="AG79" s="76"/>
      <c r="AH79" s="76"/>
    </row>
    <row r="80" spans="1:34" s="11" customFormat="1" ht="21" x14ac:dyDescent="0.25">
      <c r="A80" s="85" t="s">
        <v>235</v>
      </c>
      <c r="B80" s="85" t="s">
        <v>142</v>
      </c>
      <c r="C80" s="85" t="s">
        <v>57</v>
      </c>
      <c r="D80" s="111"/>
      <c r="E80" s="111"/>
      <c r="F80" s="85">
        <v>450</v>
      </c>
      <c r="G80" s="85">
        <v>26</v>
      </c>
      <c r="H80" s="85">
        <v>120</v>
      </c>
      <c r="I80" s="85">
        <v>48</v>
      </c>
      <c r="J80" s="85">
        <v>127</v>
      </c>
      <c r="K80" s="85"/>
      <c r="L80" s="85"/>
      <c r="M80" s="85"/>
      <c r="N80" s="85"/>
      <c r="O80" s="85">
        <f t="shared" si="0"/>
        <v>120</v>
      </c>
      <c r="P80" s="50">
        <f t="shared" si="12"/>
        <v>0</v>
      </c>
      <c r="Q80" s="70">
        <f t="shared" si="13"/>
        <v>0</v>
      </c>
      <c r="R80" s="70">
        <f t="shared" si="14"/>
        <v>0</v>
      </c>
      <c r="S80" s="70">
        <f t="shared" si="15"/>
        <v>0</v>
      </c>
      <c r="T80" s="70">
        <f t="shared" si="16"/>
        <v>0</v>
      </c>
      <c r="U80" s="70">
        <f t="shared" si="17"/>
        <v>0</v>
      </c>
      <c r="V80" s="70">
        <f t="shared" si="18"/>
        <v>0</v>
      </c>
      <c r="W80" s="70">
        <f t="shared" si="19"/>
        <v>0</v>
      </c>
      <c r="X80" s="85"/>
      <c r="Y80" s="85">
        <v>0.6</v>
      </c>
      <c r="Z80" s="85">
        <v>0.6</v>
      </c>
      <c r="AA80" s="86">
        <f t="shared" si="20"/>
        <v>0</v>
      </c>
      <c r="AB80" s="86">
        <f t="shared" si="21"/>
        <v>0</v>
      </c>
      <c r="AC80" s="76"/>
      <c r="AD80" s="76"/>
      <c r="AE80" s="76"/>
      <c r="AF80" s="76"/>
      <c r="AG80" s="76"/>
      <c r="AH80" s="76"/>
    </row>
    <row r="81" spans="1:34" s="11" customFormat="1" ht="21" x14ac:dyDescent="0.25">
      <c r="A81" s="85" t="s">
        <v>235</v>
      </c>
      <c r="B81" s="85" t="s">
        <v>142</v>
      </c>
      <c r="C81" s="85" t="s">
        <v>49</v>
      </c>
      <c r="D81" s="111"/>
      <c r="E81" s="111"/>
      <c r="F81" s="85">
        <v>450</v>
      </c>
      <c r="G81" s="85">
        <v>2.8</v>
      </c>
      <c r="H81" s="85">
        <v>17</v>
      </c>
      <c r="I81" s="85">
        <v>6.8</v>
      </c>
      <c r="J81" s="85">
        <v>11.9</v>
      </c>
      <c r="K81" s="85">
        <v>24</v>
      </c>
      <c r="L81" s="85">
        <v>103</v>
      </c>
      <c r="M81" s="85">
        <v>41.2</v>
      </c>
      <c r="N81" s="85">
        <v>115.1</v>
      </c>
      <c r="O81" s="85">
        <f t="shared" si="0"/>
        <v>120</v>
      </c>
      <c r="P81" s="50">
        <f t="shared" si="12"/>
        <v>0</v>
      </c>
      <c r="Q81" s="70">
        <f t="shared" si="13"/>
        <v>0</v>
      </c>
      <c r="R81" s="70">
        <f t="shared" si="14"/>
        <v>0</v>
      </c>
      <c r="S81" s="70">
        <f t="shared" si="15"/>
        <v>0</v>
      </c>
      <c r="T81" s="70">
        <f t="shared" si="16"/>
        <v>0</v>
      </c>
      <c r="U81" s="70">
        <f t="shared" si="17"/>
        <v>0</v>
      </c>
      <c r="V81" s="70">
        <f t="shared" si="18"/>
        <v>0</v>
      </c>
      <c r="W81" s="70">
        <f t="shared" si="19"/>
        <v>0</v>
      </c>
      <c r="X81" s="85"/>
      <c r="Y81" s="85">
        <v>0.6</v>
      </c>
      <c r="Z81" s="85">
        <v>0.6</v>
      </c>
      <c r="AA81" s="86">
        <f t="shared" si="20"/>
        <v>0</v>
      </c>
      <c r="AB81" s="86">
        <f t="shared" si="21"/>
        <v>0</v>
      </c>
      <c r="AC81" s="76"/>
      <c r="AD81" s="76"/>
      <c r="AE81" s="76"/>
      <c r="AF81" s="76"/>
      <c r="AG81" s="76"/>
      <c r="AH81" s="76"/>
    </row>
    <row r="82" spans="1:34" s="11" customFormat="1" ht="21" x14ac:dyDescent="0.25">
      <c r="A82" s="85" t="s">
        <v>235</v>
      </c>
      <c r="B82" s="85" t="s">
        <v>142</v>
      </c>
      <c r="C82" s="85" t="s">
        <v>126</v>
      </c>
      <c r="D82" s="111"/>
      <c r="E82" s="111"/>
      <c r="F82" s="85">
        <v>450</v>
      </c>
      <c r="G82" s="85"/>
      <c r="H82" s="85"/>
      <c r="I82" s="85"/>
      <c r="J82" s="85"/>
      <c r="K82" s="85">
        <v>26.8</v>
      </c>
      <c r="L82" s="85">
        <v>120</v>
      </c>
      <c r="M82" s="85">
        <v>48</v>
      </c>
      <c r="N82" s="85">
        <v>127</v>
      </c>
      <c r="O82" s="85">
        <f t="shared" si="0"/>
        <v>120</v>
      </c>
      <c r="P82" s="50">
        <f t="shared" si="12"/>
        <v>0</v>
      </c>
      <c r="Q82" s="70">
        <f t="shared" si="13"/>
        <v>0</v>
      </c>
      <c r="R82" s="70">
        <f t="shared" si="14"/>
        <v>0</v>
      </c>
      <c r="S82" s="70">
        <f t="shared" si="15"/>
        <v>0</v>
      </c>
      <c r="T82" s="70">
        <f t="shared" si="16"/>
        <v>0</v>
      </c>
      <c r="U82" s="70">
        <f t="shared" si="17"/>
        <v>0</v>
      </c>
      <c r="V82" s="70">
        <f t="shared" si="18"/>
        <v>0</v>
      </c>
      <c r="W82" s="70">
        <f t="shared" si="19"/>
        <v>0</v>
      </c>
      <c r="X82" s="85"/>
      <c r="Y82" s="85">
        <v>0.6</v>
      </c>
      <c r="Z82" s="85">
        <v>0.6</v>
      </c>
      <c r="AA82" s="86">
        <f t="shared" si="20"/>
        <v>0</v>
      </c>
      <c r="AB82" s="86">
        <f t="shared" si="21"/>
        <v>0</v>
      </c>
      <c r="AC82" s="76"/>
      <c r="AD82" s="76"/>
      <c r="AE82" s="76"/>
      <c r="AF82" s="76"/>
      <c r="AG82" s="76"/>
      <c r="AH82" s="76"/>
    </row>
    <row r="83" spans="1:34" s="11" customFormat="1" ht="21" x14ac:dyDescent="0.25">
      <c r="A83" s="85" t="s">
        <v>235</v>
      </c>
      <c r="B83" s="85" t="s">
        <v>142</v>
      </c>
      <c r="C83" s="85" t="s">
        <v>58</v>
      </c>
      <c r="D83" s="111"/>
      <c r="E83" s="111"/>
      <c r="F83" s="85">
        <v>450</v>
      </c>
      <c r="G83" s="85">
        <v>13</v>
      </c>
      <c r="H83" s="85">
        <v>61</v>
      </c>
      <c r="I83" s="85">
        <v>24.4</v>
      </c>
      <c r="J83" s="85">
        <v>40.9</v>
      </c>
      <c r="K83" s="85">
        <v>27.4</v>
      </c>
      <c r="L83" s="85">
        <v>59</v>
      </c>
      <c r="M83" s="85">
        <v>23.6</v>
      </c>
      <c r="N83" s="85">
        <v>86.1</v>
      </c>
      <c r="O83" s="85">
        <f t="shared" si="0"/>
        <v>120</v>
      </c>
      <c r="P83" s="50">
        <f t="shared" si="12"/>
        <v>0</v>
      </c>
      <c r="Q83" s="70">
        <f t="shared" si="13"/>
        <v>0</v>
      </c>
      <c r="R83" s="70">
        <f t="shared" si="14"/>
        <v>0</v>
      </c>
      <c r="S83" s="70">
        <f t="shared" si="15"/>
        <v>0</v>
      </c>
      <c r="T83" s="70">
        <f t="shared" si="16"/>
        <v>0</v>
      </c>
      <c r="U83" s="70">
        <f t="shared" si="17"/>
        <v>0</v>
      </c>
      <c r="V83" s="70">
        <f t="shared" si="18"/>
        <v>0</v>
      </c>
      <c r="W83" s="70">
        <f t="shared" si="19"/>
        <v>0</v>
      </c>
      <c r="X83" s="85"/>
      <c r="Y83" s="85">
        <v>0.6</v>
      </c>
      <c r="Z83" s="85">
        <v>0.6</v>
      </c>
      <c r="AA83" s="86">
        <f t="shared" si="20"/>
        <v>0</v>
      </c>
      <c r="AB83" s="86">
        <f t="shared" si="21"/>
        <v>0</v>
      </c>
      <c r="AC83" s="76"/>
      <c r="AD83" s="76"/>
      <c r="AE83" s="76"/>
      <c r="AF83" s="76"/>
      <c r="AG83" s="76"/>
      <c r="AH83" s="76"/>
    </row>
    <row r="84" spans="1:34" s="11" customFormat="1" ht="21" x14ac:dyDescent="0.25">
      <c r="A84" s="85" t="s">
        <v>227</v>
      </c>
      <c r="B84" s="85" t="s">
        <v>54</v>
      </c>
      <c r="C84" s="85" t="s">
        <v>42</v>
      </c>
      <c r="D84" s="111"/>
      <c r="E84" s="111"/>
      <c r="F84" s="85">
        <v>590</v>
      </c>
      <c r="G84" s="85">
        <v>1.5</v>
      </c>
      <c r="H84" s="85">
        <v>8</v>
      </c>
      <c r="I84" s="85">
        <v>3.2</v>
      </c>
      <c r="J84" s="85">
        <v>26.1</v>
      </c>
      <c r="K84" s="85">
        <v>23.5</v>
      </c>
      <c r="L84" s="85">
        <v>65</v>
      </c>
      <c r="M84" s="85">
        <v>26</v>
      </c>
      <c r="N84" s="85">
        <v>100.9</v>
      </c>
      <c r="O84" s="85">
        <f t="shared" si="0"/>
        <v>73</v>
      </c>
      <c r="P84" s="50">
        <f t="shared" si="12"/>
        <v>0</v>
      </c>
      <c r="Q84" s="70">
        <f t="shared" si="13"/>
        <v>0</v>
      </c>
      <c r="R84" s="70">
        <f t="shared" si="14"/>
        <v>0</v>
      </c>
      <c r="S84" s="70">
        <f t="shared" si="15"/>
        <v>0</v>
      </c>
      <c r="T84" s="70">
        <f t="shared" si="16"/>
        <v>0</v>
      </c>
      <c r="U84" s="70">
        <f t="shared" si="17"/>
        <v>0</v>
      </c>
      <c r="V84" s="70">
        <f t="shared" si="18"/>
        <v>0</v>
      </c>
      <c r="W84" s="70">
        <f t="shared" si="19"/>
        <v>0</v>
      </c>
      <c r="X84" s="85"/>
      <c r="Y84" s="85">
        <v>1</v>
      </c>
      <c r="Z84" s="85">
        <v>1</v>
      </c>
      <c r="AA84" s="86">
        <f t="shared" si="20"/>
        <v>0</v>
      </c>
      <c r="AB84" s="86">
        <f t="shared" si="21"/>
        <v>0</v>
      </c>
      <c r="AC84" s="76"/>
      <c r="AD84" s="76"/>
      <c r="AE84" s="76"/>
      <c r="AF84" s="76"/>
      <c r="AG84" s="76"/>
      <c r="AH84" s="76"/>
    </row>
    <row r="85" spans="1:34" s="11" customFormat="1" ht="21" x14ac:dyDescent="0.25">
      <c r="A85" s="85" t="s">
        <v>227</v>
      </c>
      <c r="B85" s="85" t="s">
        <v>54</v>
      </c>
      <c r="C85" s="85" t="s">
        <v>124</v>
      </c>
      <c r="D85" s="111"/>
      <c r="E85" s="111"/>
      <c r="F85" s="85">
        <v>590</v>
      </c>
      <c r="G85" s="85"/>
      <c r="H85" s="85"/>
      <c r="I85" s="85"/>
      <c r="J85" s="85"/>
      <c r="K85" s="85">
        <v>25</v>
      </c>
      <c r="L85" s="85">
        <v>73</v>
      </c>
      <c r="M85" s="85">
        <v>29.2</v>
      </c>
      <c r="N85" s="85">
        <v>127</v>
      </c>
      <c r="O85" s="85">
        <f t="shared" si="0"/>
        <v>73</v>
      </c>
      <c r="P85" s="50">
        <f t="shared" si="12"/>
        <v>0</v>
      </c>
      <c r="Q85" s="70">
        <f t="shared" si="13"/>
        <v>0</v>
      </c>
      <c r="R85" s="70">
        <f t="shared" si="14"/>
        <v>0</v>
      </c>
      <c r="S85" s="70">
        <f t="shared" si="15"/>
        <v>0</v>
      </c>
      <c r="T85" s="70">
        <f t="shared" si="16"/>
        <v>0</v>
      </c>
      <c r="U85" s="70">
        <f t="shared" si="17"/>
        <v>0</v>
      </c>
      <c r="V85" s="70">
        <f t="shared" si="18"/>
        <v>0</v>
      </c>
      <c r="W85" s="70">
        <f t="shared" si="19"/>
        <v>0</v>
      </c>
      <c r="X85" s="85"/>
      <c r="Y85" s="85">
        <v>1</v>
      </c>
      <c r="Z85" s="85">
        <v>1</v>
      </c>
      <c r="AA85" s="86">
        <f t="shared" si="20"/>
        <v>0</v>
      </c>
      <c r="AB85" s="86">
        <f t="shared" si="21"/>
        <v>0</v>
      </c>
      <c r="AC85" s="76"/>
      <c r="AD85" s="76"/>
      <c r="AE85" s="76"/>
      <c r="AF85" s="76"/>
      <c r="AG85" s="76"/>
      <c r="AH85" s="76"/>
    </row>
    <row r="86" spans="1:34" s="11" customFormat="1" ht="21" x14ac:dyDescent="0.25">
      <c r="A86" s="85" t="s">
        <v>227</v>
      </c>
      <c r="B86" s="85" t="s">
        <v>54</v>
      </c>
      <c r="C86" s="85" t="s">
        <v>43</v>
      </c>
      <c r="D86" s="111"/>
      <c r="E86" s="111"/>
      <c r="F86" s="85">
        <v>590</v>
      </c>
      <c r="G86" s="85">
        <v>26</v>
      </c>
      <c r="H86" s="85">
        <v>73</v>
      </c>
      <c r="I86" s="85">
        <v>29.2</v>
      </c>
      <c r="J86" s="85">
        <v>127</v>
      </c>
      <c r="K86" s="85"/>
      <c r="L86" s="85"/>
      <c r="M86" s="85"/>
      <c r="N86" s="85"/>
      <c r="O86" s="85">
        <f t="shared" si="0"/>
        <v>73</v>
      </c>
      <c r="P86" s="50">
        <f t="shared" si="12"/>
        <v>0</v>
      </c>
      <c r="Q86" s="70">
        <f t="shared" si="13"/>
        <v>0</v>
      </c>
      <c r="R86" s="70">
        <f t="shared" si="14"/>
        <v>0</v>
      </c>
      <c r="S86" s="70">
        <f t="shared" si="15"/>
        <v>0</v>
      </c>
      <c r="T86" s="70">
        <f t="shared" si="16"/>
        <v>0</v>
      </c>
      <c r="U86" s="70">
        <f t="shared" si="17"/>
        <v>0</v>
      </c>
      <c r="V86" s="70">
        <f t="shared" si="18"/>
        <v>0</v>
      </c>
      <c r="W86" s="70">
        <f t="shared" si="19"/>
        <v>0</v>
      </c>
      <c r="X86" s="85"/>
      <c r="Y86" s="85">
        <v>1</v>
      </c>
      <c r="Z86" s="85">
        <v>1</v>
      </c>
      <c r="AA86" s="86">
        <f t="shared" si="20"/>
        <v>0</v>
      </c>
      <c r="AB86" s="86">
        <f t="shared" si="21"/>
        <v>0</v>
      </c>
      <c r="AC86" s="76"/>
      <c r="AD86" s="76"/>
      <c r="AE86" s="76"/>
      <c r="AF86" s="76"/>
      <c r="AG86" s="76"/>
      <c r="AH86" s="76"/>
    </row>
    <row r="87" spans="1:34" s="11" customFormat="1" ht="21" x14ac:dyDescent="0.25">
      <c r="A87" s="85" t="s">
        <v>227</v>
      </c>
      <c r="B87" s="85" t="s">
        <v>54</v>
      </c>
      <c r="C87" s="85" t="s">
        <v>46</v>
      </c>
      <c r="D87" s="111"/>
      <c r="E87" s="111"/>
      <c r="F87" s="85">
        <v>590</v>
      </c>
      <c r="G87" s="85">
        <v>16</v>
      </c>
      <c r="H87" s="85">
        <v>43</v>
      </c>
      <c r="I87" s="85">
        <v>17.2</v>
      </c>
      <c r="J87" s="85">
        <v>65.099999999999994</v>
      </c>
      <c r="K87" s="85">
        <v>13.9</v>
      </c>
      <c r="L87" s="85">
        <v>30</v>
      </c>
      <c r="M87" s="85">
        <v>12</v>
      </c>
      <c r="N87" s="85">
        <v>61.9</v>
      </c>
      <c r="O87" s="85">
        <f t="shared" si="0"/>
        <v>73</v>
      </c>
      <c r="P87" s="50">
        <f t="shared" si="12"/>
        <v>0</v>
      </c>
      <c r="Q87" s="70">
        <f t="shared" si="13"/>
        <v>0</v>
      </c>
      <c r="R87" s="70">
        <f t="shared" si="14"/>
        <v>0</v>
      </c>
      <c r="S87" s="70">
        <f t="shared" si="15"/>
        <v>0</v>
      </c>
      <c r="T87" s="70">
        <f t="shared" si="16"/>
        <v>0</v>
      </c>
      <c r="U87" s="70">
        <f t="shared" si="17"/>
        <v>0</v>
      </c>
      <c r="V87" s="70">
        <f t="shared" si="18"/>
        <v>0</v>
      </c>
      <c r="W87" s="70">
        <f t="shared" si="19"/>
        <v>0</v>
      </c>
      <c r="X87" s="85"/>
      <c r="Y87" s="85">
        <v>1</v>
      </c>
      <c r="Z87" s="85">
        <v>1</v>
      </c>
      <c r="AA87" s="86">
        <f t="shared" si="20"/>
        <v>0</v>
      </c>
      <c r="AB87" s="86">
        <f t="shared" si="21"/>
        <v>0</v>
      </c>
      <c r="AC87" s="76"/>
      <c r="AD87" s="76"/>
      <c r="AE87" s="76"/>
      <c r="AF87" s="76"/>
      <c r="AG87" s="76"/>
      <c r="AH87" s="76"/>
    </row>
    <row r="88" spans="1:34" s="11" customFormat="1" ht="21" x14ac:dyDescent="0.25">
      <c r="A88" s="85" t="s">
        <v>227</v>
      </c>
      <c r="B88" s="85" t="s">
        <v>54</v>
      </c>
      <c r="C88" s="85" t="s">
        <v>47</v>
      </c>
      <c r="D88" s="111"/>
      <c r="E88" s="111"/>
      <c r="F88" s="85">
        <v>590</v>
      </c>
      <c r="G88" s="85">
        <v>9</v>
      </c>
      <c r="H88" s="85">
        <v>24</v>
      </c>
      <c r="I88" s="85">
        <v>9.6</v>
      </c>
      <c r="J88" s="85">
        <v>42</v>
      </c>
      <c r="K88" s="85">
        <v>21.5</v>
      </c>
      <c r="L88" s="85">
        <v>49</v>
      </c>
      <c r="M88" s="85">
        <v>19.600000000000001</v>
      </c>
      <c r="N88" s="85">
        <v>85</v>
      </c>
      <c r="O88" s="85">
        <f t="shared" si="0"/>
        <v>73</v>
      </c>
      <c r="P88" s="50">
        <f t="shared" si="12"/>
        <v>0</v>
      </c>
      <c r="Q88" s="70">
        <f t="shared" si="13"/>
        <v>0</v>
      </c>
      <c r="R88" s="70">
        <f t="shared" si="14"/>
        <v>0</v>
      </c>
      <c r="S88" s="70">
        <f t="shared" si="15"/>
        <v>0</v>
      </c>
      <c r="T88" s="70">
        <f t="shared" si="16"/>
        <v>0</v>
      </c>
      <c r="U88" s="70">
        <f t="shared" si="17"/>
        <v>0</v>
      </c>
      <c r="V88" s="70">
        <f t="shared" si="18"/>
        <v>0</v>
      </c>
      <c r="W88" s="70">
        <f t="shared" si="19"/>
        <v>0</v>
      </c>
      <c r="X88" s="85"/>
      <c r="Y88" s="85">
        <v>1</v>
      </c>
      <c r="Z88" s="85">
        <v>1</v>
      </c>
      <c r="AA88" s="86">
        <f t="shared" si="20"/>
        <v>0</v>
      </c>
      <c r="AB88" s="86">
        <f t="shared" si="21"/>
        <v>0</v>
      </c>
      <c r="AC88" s="76"/>
      <c r="AD88" s="76"/>
      <c r="AE88" s="76"/>
      <c r="AF88" s="76"/>
      <c r="AG88" s="76"/>
      <c r="AH88" s="76"/>
    </row>
    <row r="89" spans="1:34" s="11" customFormat="1" ht="21" x14ac:dyDescent="0.25">
      <c r="A89" s="85" t="s">
        <v>227</v>
      </c>
      <c r="B89" s="85" t="s">
        <v>54</v>
      </c>
      <c r="C89" s="85" t="s">
        <v>48</v>
      </c>
      <c r="D89" s="111"/>
      <c r="E89" s="111"/>
      <c r="F89" s="85">
        <v>590</v>
      </c>
      <c r="G89" s="85">
        <v>1.5</v>
      </c>
      <c r="H89" s="85">
        <v>8</v>
      </c>
      <c r="I89" s="85">
        <v>3.2</v>
      </c>
      <c r="J89" s="85">
        <v>28.9</v>
      </c>
      <c r="K89" s="85">
        <v>24</v>
      </c>
      <c r="L89" s="85">
        <v>65</v>
      </c>
      <c r="M89" s="85">
        <v>26</v>
      </c>
      <c r="N89" s="85">
        <v>98.1</v>
      </c>
      <c r="O89" s="85">
        <f t="shared" si="0"/>
        <v>73</v>
      </c>
      <c r="P89" s="50">
        <f t="shared" si="12"/>
        <v>0</v>
      </c>
      <c r="Q89" s="70">
        <f t="shared" si="13"/>
        <v>0</v>
      </c>
      <c r="R89" s="70">
        <f t="shared" si="14"/>
        <v>0</v>
      </c>
      <c r="S89" s="70">
        <f t="shared" si="15"/>
        <v>0</v>
      </c>
      <c r="T89" s="70">
        <f t="shared" si="16"/>
        <v>0</v>
      </c>
      <c r="U89" s="70">
        <f t="shared" si="17"/>
        <v>0</v>
      </c>
      <c r="V89" s="70">
        <f t="shared" si="18"/>
        <v>0</v>
      </c>
      <c r="W89" s="70">
        <f t="shared" si="19"/>
        <v>0</v>
      </c>
      <c r="X89" s="85"/>
      <c r="Y89" s="85">
        <v>1</v>
      </c>
      <c r="Z89" s="85">
        <v>1</v>
      </c>
      <c r="AA89" s="86">
        <f t="shared" si="20"/>
        <v>0</v>
      </c>
      <c r="AB89" s="86">
        <f t="shared" si="21"/>
        <v>0</v>
      </c>
      <c r="AC89" s="76"/>
      <c r="AD89" s="76"/>
      <c r="AE89" s="76"/>
      <c r="AF89" s="76"/>
      <c r="AG89" s="76"/>
      <c r="AH89" s="76"/>
    </row>
    <row r="90" spans="1:34" s="11" customFormat="1" ht="31.5" x14ac:dyDescent="0.25">
      <c r="A90" s="85" t="s">
        <v>227</v>
      </c>
      <c r="B90" s="85" t="s">
        <v>54</v>
      </c>
      <c r="C90" s="85" t="s">
        <v>125</v>
      </c>
      <c r="D90" s="111"/>
      <c r="E90" s="111"/>
      <c r="F90" s="85">
        <v>590</v>
      </c>
      <c r="G90" s="85"/>
      <c r="H90" s="85"/>
      <c r="I90" s="85"/>
      <c r="J90" s="85"/>
      <c r="K90" s="85">
        <v>25.5</v>
      </c>
      <c r="L90" s="85">
        <v>73</v>
      </c>
      <c r="M90" s="85">
        <v>29.2</v>
      </c>
      <c r="N90" s="85">
        <v>127</v>
      </c>
      <c r="O90" s="85">
        <f t="shared" si="0"/>
        <v>73</v>
      </c>
      <c r="P90" s="50">
        <f t="shared" si="12"/>
        <v>0</v>
      </c>
      <c r="Q90" s="70">
        <f t="shared" si="13"/>
        <v>0</v>
      </c>
      <c r="R90" s="70">
        <f t="shared" si="14"/>
        <v>0</v>
      </c>
      <c r="S90" s="70">
        <f t="shared" si="15"/>
        <v>0</v>
      </c>
      <c r="T90" s="70">
        <f t="shared" si="16"/>
        <v>0</v>
      </c>
      <c r="U90" s="70">
        <f t="shared" si="17"/>
        <v>0</v>
      </c>
      <c r="V90" s="70">
        <f t="shared" si="18"/>
        <v>0</v>
      </c>
      <c r="W90" s="70">
        <f t="shared" si="19"/>
        <v>0</v>
      </c>
      <c r="X90" s="85"/>
      <c r="Y90" s="85">
        <v>1</v>
      </c>
      <c r="Z90" s="85">
        <v>1</v>
      </c>
      <c r="AA90" s="86">
        <f t="shared" si="20"/>
        <v>0</v>
      </c>
      <c r="AB90" s="86">
        <f t="shared" si="21"/>
        <v>0</v>
      </c>
      <c r="AC90" s="76"/>
      <c r="AD90" s="76"/>
      <c r="AE90" s="76"/>
      <c r="AF90" s="76"/>
      <c r="AG90" s="76"/>
      <c r="AH90" s="76"/>
    </row>
    <row r="91" spans="1:34" s="11" customFormat="1" ht="21" x14ac:dyDescent="0.25">
      <c r="A91" s="85" t="s">
        <v>227</v>
      </c>
      <c r="B91" s="85" t="s">
        <v>54</v>
      </c>
      <c r="C91" s="85" t="s">
        <v>45</v>
      </c>
      <c r="D91" s="111"/>
      <c r="E91" s="111"/>
      <c r="F91" s="85">
        <v>590</v>
      </c>
      <c r="G91" s="85">
        <v>26</v>
      </c>
      <c r="H91" s="85">
        <v>73</v>
      </c>
      <c r="I91" s="85">
        <v>29.2</v>
      </c>
      <c r="J91" s="85">
        <v>127</v>
      </c>
      <c r="K91" s="85"/>
      <c r="L91" s="85"/>
      <c r="M91" s="85"/>
      <c r="N91" s="85"/>
      <c r="O91" s="85">
        <f>L91+H91</f>
        <v>73</v>
      </c>
      <c r="P91" s="50">
        <f t="shared" si="12"/>
        <v>0</v>
      </c>
      <c r="Q91" s="70">
        <f t="shared" si="13"/>
        <v>0</v>
      </c>
      <c r="R91" s="70">
        <f t="shared" si="14"/>
        <v>0</v>
      </c>
      <c r="S91" s="70">
        <f t="shared" si="15"/>
        <v>0</v>
      </c>
      <c r="T91" s="70">
        <f t="shared" si="16"/>
        <v>0</v>
      </c>
      <c r="U91" s="70">
        <f t="shared" si="17"/>
        <v>0</v>
      </c>
      <c r="V91" s="70">
        <f t="shared" si="18"/>
        <v>0</v>
      </c>
      <c r="W91" s="70">
        <f t="shared" si="19"/>
        <v>0</v>
      </c>
      <c r="X91" s="85"/>
      <c r="Y91" s="85">
        <v>1</v>
      </c>
      <c r="Z91" s="85">
        <v>1</v>
      </c>
      <c r="AA91" s="86">
        <f t="shared" si="20"/>
        <v>0</v>
      </c>
      <c r="AB91" s="86">
        <f t="shared" si="21"/>
        <v>0</v>
      </c>
      <c r="AC91" s="76"/>
      <c r="AD91" s="76"/>
      <c r="AE91" s="76"/>
      <c r="AF91" s="76"/>
      <c r="AG91" s="76"/>
      <c r="AH91" s="76"/>
    </row>
    <row r="92" spans="1:34" s="11" customFormat="1" ht="21" x14ac:dyDescent="0.25">
      <c r="A92" s="85" t="s">
        <v>227</v>
      </c>
      <c r="B92" s="85" t="s">
        <v>54</v>
      </c>
      <c r="C92" s="85" t="s">
        <v>49</v>
      </c>
      <c r="D92" s="111"/>
      <c r="E92" s="111"/>
      <c r="F92" s="85">
        <v>590</v>
      </c>
      <c r="G92" s="85">
        <v>1.5</v>
      </c>
      <c r="H92" s="85">
        <v>8</v>
      </c>
      <c r="I92" s="85">
        <v>3.2</v>
      </c>
      <c r="J92" s="85">
        <v>24.8</v>
      </c>
      <c r="K92" s="85">
        <v>24</v>
      </c>
      <c r="L92" s="85">
        <v>65</v>
      </c>
      <c r="M92" s="85">
        <v>26</v>
      </c>
      <c r="N92" s="85">
        <v>102.2</v>
      </c>
      <c r="O92" s="85">
        <f t="shared" si="0"/>
        <v>73</v>
      </c>
      <c r="P92" s="50">
        <f t="shared" si="12"/>
        <v>0</v>
      </c>
      <c r="Q92" s="70">
        <f t="shared" si="13"/>
        <v>0</v>
      </c>
      <c r="R92" s="70">
        <f t="shared" si="14"/>
        <v>0</v>
      </c>
      <c r="S92" s="70">
        <f t="shared" si="15"/>
        <v>0</v>
      </c>
      <c r="T92" s="70">
        <f t="shared" si="16"/>
        <v>0</v>
      </c>
      <c r="U92" s="70">
        <f t="shared" si="17"/>
        <v>0</v>
      </c>
      <c r="V92" s="70">
        <f t="shared" si="18"/>
        <v>0</v>
      </c>
      <c r="W92" s="70">
        <f t="shared" si="19"/>
        <v>0</v>
      </c>
      <c r="X92" s="85"/>
      <c r="Y92" s="85">
        <v>1</v>
      </c>
      <c r="Z92" s="85">
        <v>1</v>
      </c>
      <c r="AA92" s="86">
        <f t="shared" si="20"/>
        <v>0</v>
      </c>
      <c r="AB92" s="86">
        <f t="shared" si="21"/>
        <v>0</v>
      </c>
      <c r="AC92" s="76"/>
      <c r="AD92" s="76"/>
      <c r="AE92" s="76"/>
      <c r="AF92" s="76"/>
      <c r="AG92" s="76"/>
      <c r="AH92" s="76"/>
    </row>
    <row r="93" spans="1:34" s="11" customFormat="1" ht="21" x14ac:dyDescent="0.25">
      <c r="A93" s="85" t="s">
        <v>227</v>
      </c>
      <c r="B93" s="85" t="s">
        <v>54</v>
      </c>
      <c r="C93" s="85" t="s">
        <v>126</v>
      </c>
      <c r="D93" s="111"/>
      <c r="E93" s="111"/>
      <c r="F93" s="85">
        <v>590</v>
      </c>
      <c r="G93" s="85"/>
      <c r="H93" s="85"/>
      <c r="I93" s="85"/>
      <c r="J93" s="85"/>
      <c r="K93" s="85">
        <v>25.5</v>
      </c>
      <c r="L93" s="85">
        <v>73</v>
      </c>
      <c r="M93" s="85">
        <v>29.2</v>
      </c>
      <c r="N93" s="85">
        <v>127</v>
      </c>
      <c r="O93" s="85">
        <f t="shared" si="0"/>
        <v>73</v>
      </c>
      <c r="P93" s="50">
        <f t="shared" si="12"/>
        <v>0</v>
      </c>
      <c r="Q93" s="70">
        <f t="shared" si="13"/>
        <v>0</v>
      </c>
      <c r="R93" s="70">
        <f t="shared" si="14"/>
        <v>0</v>
      </c>
      <c r="S93" s="70">
        <f t="shared" si="15"/>
        <v>0</v>
      </c>
      <c r="T93" s="70">
        <f t="shared" si="16"/>
        <v>0</v>
      </c>
      <c r="U93" s="70">
        <f t="shared" si="17"/>
        <v>0</v>
      </c>
      <c r="V93" s="70">
        <f t="shared" si="18"/>
        <v>0</v>
      </c>
      <c r="W93" s="70">
        <f t="shared" si="19"/>
        <v>0</v>
      </c>
      <c r="X93" s="85"/>
      <c r="Y93" s="85">
        <v>1</v>
      </c>
      <c r="Z93" s="85">
        <v>1</v>
      </c>
      <c r="AA93" s="86">
        <f t="shared" si="20"/>
        <v>0</v>
      </c>
      <c r="AB93" s="86">
        <f t="shared" si="21"/>
        <v>0</v>
      </c>
      <c r="AC93" s="76"/>
      <c r="AD93" s="76"/>
      <c r="AE93" s="76"/>
      <c r="AF93" s="76"/>
      <c r="AG93" s="76"/>
      <c r="AH93" s="76"/>
    </row>
    <row r="94" spans="1:34" s="11" customFormat="1" ht="21" x14ac:dyDescent="0.25">
      <c r="A94" s="246" t="s">
        <v>227</v>
      </c>
      <c r="B94" s="246" t="s">
        <v>54</v>
      </c>
      <c r="C94" s="246" t="s">
        <v>345</v>
      </c>
      <c r="D94" s="111"/>
      <c r="E94" s="111"/>
      <c r="F94" s="85">
        <v>590</v>
      </c>
      <c r="G94" s="85">
        <v>1.5</v>
      </c>
      <c r="H94" s="85">
        <v>8</v>
      </c>
      <c r="I94" s="85">
        <v>3.2</v>
      </c>
      <c r="J94" s="85">
        <v>31.1</v>
      </c>
      <c r="K94" s="85">
        <v>24</v>
      </c>
      <c r="L94" s="85">
        <v>65</v>
      </c>
      <c r="M94" s="85">
        <v>26</v>
      </c>
      <c r="N94" s="85">
        <v>95.9</v>
      </c>
      <c r="O94" s="85">
        <f t="shared" si="0"/>
        <v>73</v>
      </c>
      <c r="P94" s="50">
        <f t="shared" si="12"/>
        <v>0</v>
      </c>
      <c r="Q94" s="70">
        <f t="shared" si="13"/>
        <v>0</v>
      </c>
      <c r="R94" s="70">
        <f t="shared" si="14"/>
        <v>0</v>
      </c>
      <c r="S94" s="70">
        <f t="shared" si="15"/>
        <v>0</v>
      </c>
      <c r="T94" s="70">
        <f t="shared" si="16"/>
        <v>0</v>
      </c>
      <c r="U94" s="70">
        <f t="shared" si="17"/>
        <v>0</v>
      </c>
      <c r="V94" s="70">
        <f t="shared" si="18"/>
        <v>0</v>
      </c>
      <c r="W94" s="70">
        <f t="shared" si="19"/>
        <v>0</v>
      </c>
      <c r="X94" s="85"/>
      <c r="Y94" s="85">
        <v>1</v>
      </c>
      <c r="Z94" s="85">
        <v>1</v>
      </c>
      <c r="AA94" s="86">
        <f t="shared" si="20"/>
        <v>0</v>
      </c>
      <c r="AB94" s="86">
        <f t="shared" si="21"/>
        <v>0</v>
      </c>
      <c r="AC94" s="76"/>
      <c r="AD94" s="76"/>
      <c r="AE94" s="76"/>
      <c r="AF94" s="76"/>
      <c r="AG94" s="76"/>
      <c r="AH94" s="76"/>
    </row>
    <row r="95" spans="1:34" s="11" customFormat="1" ht="21" x14ac:dyDescent="0.25">
      <c r="A95" s="85" t="s">
        <v>232</v>
      </c>
      <c r="B95" s="85" t="s">
        <v>142</v>
      </c>
      <c r="C95" s="85" t="s">
        <v>56</v>
      </c>
      <c r="D95" s="111"/>
      <c r="E95" s="111"/>
      <c r="F95" s="85">
        <v>600</v>
      </c>
      <c r="G95" s="85">
        <v>3.2</v>
      </c>
      <c r="H95" s="85">
        <v>26</v>
      </c>
      <c r="I95" s="85">
        <v>10.4</v>
      </c>
      <c r="J95" s="85">
        <v>18.2</v>
      </c>
      <c r="K95" s="85">
        <v>23.5</v>
      </c>
      <c r="L95" s="85">
        <v>94</v>
      </c>
      <c r="M95" s="85">
        <v>37.6</v>
      </c>
      <c r="N95" s="85">
        <v>108.8</v>
      </c>
      <c r="O95" s="85">
        <f t="shared" si="0"/>
        <v>120</v>
      </c>
      <c r="P95" s="50">
        <f t="shared" si="12"/>
        <v>0</v>
      </c>
      <c r="Q95" s="70">
        <f t="shared" si="13"/>
        <v>0</v>
      </c>
      <c r="R95" s="70">
        <f t="shared" si="14"/>
        <v>0</v>
      </c>
      <c r="S95" s="70">
        <f t="shared" si="15"/>
        <v>0</v>
      </c>
      <c r="T95" s="70">
        <f t="shared" si="16"/>
        <v>0</v>
      </c>
      <c r="U95" s="70">
        <f t="shared" si="17"/>
        <v>0</v>
      </c>
      <c r="V95" s="70">
        <f t="shared" si="18"/>
        <v>0</v>
      </c>
      <c r="W95" s="70">
        <f t="shared" si="19"/>
        <v>0</v>
      </c>
      <c r="X95" s="85"/>
      <c r="Y95" s="85">
        <v>1</v>
      </c>
      <c r="Z95" s="85">
        <v>1</v>
      </c>
      <c r="AA95" s="86">
        <f t="shared" si="20"/>
        <v>0</v>
      </c>
      <c r="AB95" s="86">
        <f t="shared" si="21"/>
        <v>0</v>
      </c>
      <c r="AC95" s="76"/>
      <c r="AD95" s="76"/>
      <c r="AE95" s="76"/>
      <c r="AF95" s="76"/>
      <c r="AG95" s="76"/>
      <c r="AH95" s="76"/>
    </row>
    <row r="96" spans="1:34" s="11" customFormat="1" ht="21" x14ac:dyDescent="0.25">
      <c r="A96" s="85" t="s">
        <v>232</v>
      </c>
      <c r="B96" s="85" t="s">
        <v>142</v>
      </c>
      <c r="C96" s="85" t="s">
        <v>127</v>
      </c>
      <c r="D96" s="111"/>
      <c r="E96" s="111"/>
      <c r="F96" s="85">
        <v>600</v>
      </c>
      <c r="G96" s="85"/>
      <c r="H96" s="85"/>
      <c r="I96" s="85"/>
      <c r="J96" s="85"/>
      <c r="K96" s="85">
        <v>26.7</v>
      </c>
      <c r="L96" s="85">
        <v>120</v>
      </c>
      <c r="M96" s="85">
        <v>48</v>
      </c>
      <c r="N96" s="85">
        <v>127</v>
      </c>
      <c r="O96" s="85">
        <f t="shared" si="0"/>
        <v>120</v>
      </c>
      <c r="P96" s="50">
        <f t="shared" si="12"/>
        <v>0</v>
      </c>
      <c r="Q96" s="70">
        <f t="shared" si="13"/>
        <v>0</v>
      </c>
      <c r="R96" s="70">
        <f t="shared" si="14"/>
        <v>0</v>
      </c>
      <c r="S96" s="70">
        <f t="shared" si="15"/>
        <v>0</v>
      </c>
      <c r="T96" s="70">
        <f t="shared" si="16"/>
        <v>0</v>
      </c>
      <c r="U96" s="70">
        <f t="shared" si="17"/>
        <v>0</v>
      </c>
      <c r="V96" s="70">
        <f t="shared" si="18"/>
        <v>0</v>
      </c>
      <c r="W96" s="70">
        <f t="shared" si="19"/>
        <v>0</v>
      </c>
      <c r="X96" s="85"/>
      <c r="Y96" s="85">
        <v>1</v>
      </c>
      <c r="Z96" s="85">
        <v>1</v>
      </c>
      <c r="AA96" s="86">
        <f t="shared" si="20"/>
        <v>0</v>
      </c>
      <c r="AB96" s="86">
        <f t="shared" si="21"/>
        <v>0</v>
      </c>
      <c r="AC96" s="76"/>
      <c r="AD96" s="76"/>
      <c r="AE96" s="76"/>
      <c r="AF96" s="76"/>
      <c r="AG96" s="76"/>
      <c r="AH96" s="76"/>
    </row>
    <row r="97" spans="1:34" s="11" customFormat="1" ht="21" x14ac:dyDescent="0.25">
      <c r="A97" s="85" t="s">
        <v>232</v>
      </c>
      <c r="B97" s="85" t="s">
        <v>142</v>
      </c>
      <c r="C97" s="85" t="s">
        <v>59</v>
      </c>
      <c r="D97" s="111"/>
      <c r="E97" s="111"/>
      <c r="F97" s="85">
        <v>600</v>
      </c>
      <c r="G97" s="85">
        <v>2.8</v>
      </c>
      <c r="H97" s="85">
        <v>17</v>
      </c>
      <c r="I97" s="85">
        <v>6.8</v>
      </c>
      <c r="J97" s="85">
        <v>17.7</v>
      </c>
      <c r="K97" s="85">
        <v>24</v>
      </c>
      <c r="L97" s="85">
        <v>103</v>
      </c>
      <c r="M97" s="85">
        <v>41.2</v>
      </c>
      <c r="N97" s="85">
        <v>112.3</v>
      </c>
      <c r="O97" s="85">
        <f t="shared" si="0"/>
        <v>120</v>
      </c>
      <c r="P97" s="50">
        <f t="shared" si="12"/>
        <v>0</v>
      </c>
      <c r="Q97" s="70">
        <f t="shared" si="13"/>
        <v>0</v>
      </c>
      <c r="R97" s="70">
        <f t="shared" si="14"/>
        <v>0</v>
      </c>
      <c r="S97" s="70">
        <f t="shared" si="15"/>
        <v>0</v>
      </c>
      <c r="T97" s="70">
        <f t="shared" si="16"/>
        <v>0</v>
      </c>
      <c r="U97" s="70">
        <f t="shared" si="17"/>
        <v>0</v>
      </c>
      <c r="V97" s="70">
        <f t="shared" si="18"/>
        <v>0</v>
      </c>
      <c r="W97" s="70">
        <f t="shared" si="19"/>
        <v>0</v>
      </c>
      <c r="X97" s="85"/>
      <c r="Y97" s="85">
        <v>1</v>
      </c>
      <c r="Z97" s="85">
        <v>1</v>
      </c>
      <c r="AA97" s="86">
        <f t="shared" si="20"/>
        <v>0</v>
      </c>
      <c r="AB97" s="86">
        <f t="shared" si="21"/>
        <v>0</v>
      </c>
      <c r="AC97" s="76"/>
      <c r="AD97" s="76"/>
      <c r="AE97" s="76"/>
      <c r="AF97" s="76"/>
      <c r="AG97" s="76"/>
      <c r="AH97" s="76"/>
    </row>
    <row r="98" spans="1:34" s="11" customFormat="1" ht="21" x14ac:dyDescent="0.25">
      <c r="A98" s="85" t="s">
        <v>232</v>
      </c>
      <c r="B98" s="85" t="s">
        <v>142</v>
      </c>
      <c r="C98" s="85" t="s">
        <v>128</v>
      </c>
      <c r="D98" s="111"/>
      <c r="E98" s="111"/>
      <c r="F98" s="85">
        <v>600</v>
      </c>
      <c r="G98" s="85"/>
      <c r="H98" s="85"/>
      <c r="I98" s="85"/>
      <c r="J98" s="85"/>
      <c r="K98" s="85">
        <v>26.8</v>
      </c>
      <c r="L98" s="85">
        <v>120</v>
      </c>
      <c r="M98" s="85">
        <v>48</v>
      </c>
      <c r="N98" s="85">
        <v>130</v>
      </c>
      <c r="O98" s="85">
        <f t="shared" si="0"/>
        <v>120</v>
      </c>
      <c r="P98" s="50">
        <f t="shared" si="12"/>
        <v>0</v>
      </c>
      <c r="Q98" s="70">
        <f t="shared" si="13"/>
        <v>0</v>
      </c>
      <c r="R98" s="70">
        <f t="shared" si="14"/>
        <v>0</v>
      </c>
      <c r="S98" s="70">
        <f t="shared" si="15"/>
        <v>0</v>
      </c>
      <c r="T98" s="70">
        <f t="shared" si="16"/>
        <v>0</v>
      </c>
      <c r="U98" s="70">
        <f t="shared" si="17"/>
        <v>0</v>
      </c>
      <c r="V98" s="70">
        <f t="shared" si="18"/>
        <v>0</v>
      </c>
      <c r="W98" s="70">
        <f t="shared" si="19"/>
        <v>0</v>
      </c>
      <c r="X98" s="85"/>
      <c r="Y98" s="85">
        <v>1</v>
      </c>
      <c r="Z98" s="85">
        <v>1</v>
      </c>
      <c r="AA98" s="86">
        <f t="shared" si="20"/>
        <v>0</v>
      </c>
      <c r="AB98" s="86">
        <f t="shared" si="21"/>
        <v>0</v>
      </c>
      <c r="AC98" s="76"/>
      <c r="AD98" s="76"/>
      <c r="AE98" s="76"/>
      <c r="AF98" s="76"/>
      <c r="AG98" s="76"/>
      <c r="AH98" s="76"/>
    </row>
    <row r="99" spans="1:34" s="11" customFormat="1" ht="21" x14ac:dyDescent="0.25">
      <c r="A99" s="85" t="s">
        <v>232</v>
      </c>
      <c r="B99" s="85" t="s">
        <v>142</v>
      </c>
      <c r="C99" s="85" t="s">
        <v>46</v>
      </c>
      <c r="D99" s="111"/>
      <c r="E99" s="111"/>
      <c r="F99" s="85">
        <v>600</v>
      </c>
      <c r="G99" s="85">
        <v>16</v>
      </c>
      <c r="H99" s="85">
        <v>61</v>
      </c>
      <c r="I99" s="85">
        <v>24.4</v>
      </c>
      <c r="J99" s="85">
        <v>68</v>
      </c>
      <c r="K99" s="85">
        <v>13.9</v>
      </c>
      <c r="L99" s="85">
        <v>59</v>
      </c>
      <c r="M99" s="85">
        <v>23.6</v>
      </c>
      <c r="N99" s="85">
        <v>59</v>
      </c>
      <c r="O99" s="85">
        <f t="shared" si="0"/>
        <v>120</v>
      </c>
      <c r="P99" s="50">
        <f t="shared" si="12"/>
        <v>0</v>
      </c>
      <c r="Q99" s="70">
        <f t="shared" si="13"/>
        <v>0</v>
      </c>
      <c r="R99" s="70">
        <f t="shared" si="14"/>
        <v>0</v>
      </c>
      <c r="S99" s="70">
        <f t="shared" si="15"/>
        <v>0</v>
      </c>
      <c r="T99" s="70">
        <f t="shared" si="16"/>
        <v>0</v>
      </c>
      <c r="U99" s="70">
        <f t="shared" si="17"/>
        <v>0</v>
      </c>
      <c r="V99" s="70">
        <f t="shared" si="18"/>
        <v>0</v>
      </c>
      <c r="W99" s="70">
        <f t="shared" si="19"/>
        <v>0</v>
      </c>
      <c r="X99" s="85"/>
      <c r="Y99" s="85">
        <v>1</v>
      </c>
      <c r="Z99" s="85">
        <v>1</v>
      </c>
      <c r="AA99" s="86">
        <f t="shared" si="20"/>
        <v>0</v>
      </c>
      <c r="AB99" s="86">
        <f t="shared" si="21"/>
        <v>0</v>
      </c>
      <c r="AC99" s="76"/>
      <c r="AD99" s="76"/>
      <c r="AE99" s="76"/>
      <c r="AF99" s="76"/>
      <c r="AG99" s="76"/>
      <c r="AH99" s="76"/>
    </row>
    <row r="100" spans="1:34" s="11" customFormat="1" ht="21" x14ac:dyDescent="0.25">
      <c r="A100" s="85" t="s">
        <v>232</v>
      </c>
      <c r="B100" s="85" t="s">
        <v>142</v>
      </c>
      <c r="C100" s="85" t="s">
        <v>47</v>
      </c>
      <c r="D100" s="111"/>
      <c r="E100" s="111"/>
      <c r="F100" s="85">
        <v>600</v>
      </c>
      <c r="G100" s="85">
        <v>9</v>
      </c>
      <c r="H100" s="85">
        <v>59</v>
      </c>
      <c r="I100" s="85">
        <v>23.6</v>
      </c>
      <c r="J100" s="85">
        <v>37.5</v>
      </c>
      <c r="K100" s="85">
        <v>21.5</v>
      </c>
      <c r="L100" s="85">
        <v>61</v>
      </c>
      <c r="M100" s="85">
        <v>24.4</v>
      </c>
      <c r="N100" s="85">
        <v>89.5</v>
      </c>
      <c r="O100" s="85">
        <f t="shared" si="0"/>
        <v>120</v>
      </c>
      <c r="P100" s="50">
        <f t="shared" si="12"/>
        <v>0</v>
      </c>
      <c r="Q100" s="70">
        <f t="shared" si="13"/>
        <v>0</v>
      </c>
      <c r="R100" s="70">
        <f t="shared" si="14"/>
        <v>0</v>
      </c>
      <c r="S100" s="70">
        <f t="shared" si="15"/>
        <v>0</v>
      </c>
      <c r="T100" s="70">
        <f t="shared" si="16"/>
        <v>0</v>
      </c>
      <c r="U100" s="70">
        <f t="shared" si="17"/>
        <v>0</v>
      </c>
      <c r="V100" s="70">
        <f t="shared" si="18"/>
        <v>0</v>
      </c>
      <c r="W100" s="70">
        <f t="shared" si="19"/>
        <v>0</v>
      </c>
      <c r="X100" s="85"/>
      <c r="Y100" s="85">
        <v>1</v>
      </c>
      <c r="Z100" s="85">
        <v>1</v>
      </c>
      <c r="AA100" s="86">
        <f t="shared" si="20"/>
        <v>0</v>
      </c>
      <c r="AB100" s="86">
        <f t="shared" si="21"/>
        <v>0</v>
      </c>
      <c r="AC100" s="76"/>
      <c r="AD100" s="76"/>
      <c r="AE100" s="76"/>
      <c r="AF100" s="76"/>
      <c r="AG100" s="76"/>
      <c r="AH100" s="76"/>
    </row>
    <row r="101" spans="1:34" s="11" customFormat="1" ht="21" x14ac:dyDescent="0.25">
      <c r="A101" s="85" t="s">
        <v>232</v>
      </c>
      <c r="B101" s="85" t="s">
        <v>142</v>
      </c>
      <c r="C101" s="85" t="s">
        <v>45</v>
      </c>
      <c r="D101" s="111"/>
      <c r="E101" s="111"/>
      <c r="F101" s="85">
        <v>600</v>
      </c>
      <c r="G101" s="85">
        <v>26</v>
      </c>
      <c r="H101" s="85">
        <v>120</v>
      </c>
      <c r="I101" s="85">
        <v>48</v>
      </c>
      <c r="J101" s="85">
        <v>127</v>
      </c>
      <c r="K101" s="85"/>
      <c r="L101" s="85"/>
      <c r="M101" s="85"/>
      <c r="N101" s="85"/>
      <c r="O101" s="85">
        <f t="shared" si="0"/>
        <v>120</v>
      </c>
      <c r="P101" s="50">
        <f t="shared" si="12"/>
        <v>0</v>
      </c>
      <c r="Q101" s="70">
        <f t="shared" si="13"/>
        <v>0</v>
      </c>
      <c r="R101" s="70">
        <f t="shared" si="14"/>
        <v>0</v>
      </c>
      <c r="S101" s="70">
        <f t="shared" si="15"/>
        <v>0</v>
      </c>
      <c r="T101" s="70">
        <f t="shared" si="16"/>
        <v>0</v>
      </c>
      <c r="U101" s="70">
        <f t="shared" si="17"/>
        <v>0</v>
      </c>
      <c r="V101" s="70">
        <f t="shared" si="18"/>
        <v>0</v>
      </c>
      <c r="W101" s="70">
        <f t="shared" si="19"/>
        <v>0</v>
      </c>
      <c r="X101" s="85"/>
      <c r="Y101" s="85">
        <v>1</v>
      </c>
      <c r="Z101" s="85">
        <v>1</v>
      </c>
      <c r="AA101" s="86">
        <f t="shared" si="20"/>
        <v>0</v>
      </c>
      <c r="AB101" s="86">
        <f t="shared" si="21"/>
        <v>0</v>
      </c>
      <c r="AC101" s="76"/>
      <c r="AD101" s="76"/>
      <c r="AE101" s="76"/>
      <c r="AF101" s="76"/>
      <c r="AG101" s="76"/>
      <c r="AH101" s="76"/>
    </row>
    <row r="102" spans="1:34" s="11" customFormat="1" ht="21" x14ac:dyDescent="0.25">
      <c r="A102" s="85" t="s">
        <v>232</v>
      </c>
      <c r="B102" s="85" t="s">
        <v>142</v>
      </c>
      <c r="C102" s="85" t="s">
        <v>57</v>
      </c>
      <c r="D102" s="111"/>
      <c r="E102" s="111"/>
      <c r="F102" s="85">
        <v>600</v>
      </c>
      <c r="G102" s="85">
        <v>26</v>
      </c>
      <c r="H102" s="85">
        <v>120</v>
      </c>
      <c r="I102" s="85">
        <v>48</v>
      </c>
      <c r="J102" s="85">
        <v>127</v>
      </c>
      <c r="K102" s="85"/>
      <c r="L102" s="85"/>
      <c r="M102" s="85"/>
      <c r="N102" s="85"/>
      <c r="O102" s="85">
        <f t="shared" si="0"/>
        <v>120</v>
      </c>
      <c r="P102" s="50">
        <f t="shared" si="12"/>
        <v>0</v>
      </c>
      <c r="Q102" s="70">
        <f t="shared" si="13"/>
        <v>0</v>
      </c>
      <c r="R102" s="70">
        <f t="shared" si="14"/>
        <v>0</v>
      </c>
      <c r="S102" s="70">
        <f t="shared" si="15"/>
        <v>0</v>
      </c>
      <c r="T102" s="70">
        <f t="shared" si="16"/>
        <v>0</v>
      </c>
      <c r="U102" s="70">
        <f t="shared" si="17"/>
        <v>0</v>
      </c>
      <c r="V102" s="70">
        <f t="shared" si="18"/>
        <v>0</v>
      </c>
      <c r="W102" s="70">
        <f t="shared" si="19"/>
        <v>0</v>
      </c>
      <c r="X102" s="85"/>
      <c r="Y102" s="85">
        <v>1</v>
      </c>
      <c r="Z102" s="85">
        <v>1</v>
      </c>
      <c r="AA102" s="86">
        <f t="shared" si="20"/>
        <v>0</v>
      </c>
      <c r="AB102" s="86">
        <f t="shared" si="21"/>
        <v>0</v>
      </c>
      <c r="AC102" s="76"/>
      <c r="AD102" s="76"/>
      <c r="AE102" s="76"/>
      <c r="AF102" s="76"/>
      <c r="AG102" s="76"/>
      <c r="AH102" s="76"/>
    </row>
    <row r="103" spans="1:34" s="11" customFormat="1" ht="21" x14ac:dyDescent="0.25">
      <c r="A103" s="85" t="s">
        <v>232</v>
      </c>
      <c r="B103" s="85" t="s">
        <v>142</v>
      </c>
      <c r="C103" s="85" t="s">
        <v>49</v>
      </c>
      <c r="D103" s="111"/>
      <c r="E103" s="111"/>
      <c r="F103" s="85">
        <v>600</v>
      </c>
      <c r="G103" s="85">
        <v>2.8</v>
      </c>
      <c r="H103" s="85">
        <v>17</v>
      </c>
      <c r="I103" s="85">
        <v>6.8</v>
      </c>
      <c r="J103" s="85">
        <v>11.9</v>
      </c>
      <c r="K103" s="85">
        <v>24</v>
      </c>
      <c r="L103" s="85">
        <v>103</v>
      </c>
      <c r="M103" s="85">
        <v>41.2</v>
      </c>
      <c r="N103" s="85">
        <v>115.1</v>
      </c>
      <c r="O103" s="85">
        <f t="shared" si="0"/>
        <v>120</v>
      </c>
      <c r="P103" s="50">
        <f t="shared" si="12"/>
        <v>0</v>
      </c>
      <c r="Q103" s="70">
        <f t="shared" si="13"/>
        <v>0</v>
      </c>
      <c r="R103" s="70">
        <f t="shared" si="14"/>
        <v>0</v>
      </c>
      <c r="S103" s="70">
        <f t="shared" si="15"/>
        <v>0</v>
      </c>
      <c r="T103" s="70">
        <f t="shared" si="16"/>
        <v>0</v>
      </c>
      <c r="U103" s="70">
        <f t="shared" si="17"/>
        <v>0</v>
      </c>
      <c r="V103" s="70">
        <f t="shared" si="18"/>
        <v>0</v>
      </c>
      <c r="W103" s="70">
        <f t="shared" si="19"/>
        <v>0</v>
      </c>
      <c r="X103" s="85"/>
      <c r="Y103" s="85">
        <v>1</v>
      </c>
      <c r="Z103" s="85">
        <v>1</v>
      </c>
      <c r="AA103" s="86">
        <f t="shared" si="20"/>
        <v>0</v>
      </c>
      <c r="AB103" s="86">
        <f t="shared" si="21"/>
        <v>0</v>
      </c>
      <c r="AC103" s="76"/>
      <c r="AD103" s="76"/>
      <c r="AE103" s="76"/>
      <c r="AF103" s="76"/>
      <c r="AG103" s="76"/>
      <c r="AH103" s="76"/>
    </row>
    <row r="104" spans="1:34" s="11" customFormat="1" ht="21" x14ac:dyDescent="0.25">
      <c r="A104" s="85" t="s">
        <v>232</v>
      </c>
      <c r="B104" s="85" t="s">
        <v>142</v>
      </c>
      <c r="C104" s="85" t="s">
        <v>126</v>
      </c>
      <c r="D104" s="111"/>
      <c r="E104" s="111"/>
      <c r="F104" s="85">
        <v>600</v>
      </c>
      <c r="G104" s="85"/>
      <c r="H104" s="85"/>
      <c r="I104" s="85"/>
      <c r="J104" s="85"/>
      <c r="K104" s="85">
        <v>26.8</v>
      </c>
      <c r="L104" s="85">
        <v>120</v>
      </c>
      <c r="M104" s="85">
        <v>48</v>
      </c>
      <c r="N104" s="85">
        <v>127</v>
      </c>
      <c r="O104" s="85">
        <f t="shared" si="0"/>
        <v>120</v>
      </c>
      <c r="P104" s="50">
        <f t="shared" si="12"/>
        <v>0</v>
      </c>
      <c r="Q104" s="70">
        <f t="shared" si="13"/>
        <v>0</v>
      </c>
      <c r="R104" s="70">
        <f t="shared" si="14"/>
        <v>0</v>
      </c>
      <c r="S104" s="70">
        <f t="shared" si="15"/>
        <v>0</v>
      </c>
      <c r="T104" s="70">
        <f t="shared" si="16"/>
        <v>0</v>
      </c>
      <c r="U104" s="70">
        <f t="shared" si="17"/>
        <v>0</v>
      </c>
      <c r="V104" s="70">
        <f t="shared" si="18"/>
        <v>0</v>
      </c>
      <c r="W104" s="70">
        <f t="shared" si="19"/>
        <v>0</v>
      </c>
      <c r="X104" s="85"/>
      <c r="Y104" s="85">
        <v>1</v>
      </c>
      <c r="Z104" s="85">
        <v>1</v>
      </c>
      <c r="AA104" s="86">
        <f t="shared" si="20"/>
        <v>0</v>
      </c>
      <c r="AB104" s="86">
        <f t="shared" si="21"/>
        <v>0</v>
      </c>
      <c r="AC104" s="76"/>
      <c r="AD104" s="76"/>
      <c r="AE104" s="76"/>
      <c r="AF104" s="76"/>
      <c r="AG104" s="76"/>
      <c r="AH104" s="76"/>
    </row>
    <row r="105" spans="1:34" s="11" customFormat="1" ht="21" x14ac:dyDescent="0.25">
      <c r="A105" s="85" t="s">
        <v>232</v>
      </c>
      <c r="B105" s="85" t="s">
        <v>142</v>
      </c>
      <c r="C105" s="85" t="s">
        <v>58</v>
      </c>
      <c r="D105" s="111"/>
      <c r="E105" s="111"/>
      <c r="F105" s="85">
        <v>600</v>
      </c>
      <c r="G105" s="85">
        <v>13</v>
      </c>
      <c r="H105" s="85">
        <v>61</v>
      </c>
      <c r="I105" s="85">
        <v>24.4</v>
      </c>
      <c r="J105" s="85">
        <v>40.9</v>
      </c>
      <c r="K105" s="85">
        <v>27.4</v>
      </c>
      <c r="L105" s="85">
        <v>59</v>
      </c>
      <c r="M105" s="85">
        <v>23.6</v>
      </c>
      <c r="N105" s="85">
        <v>86.1</v>
      </c>
      <c r="O105" s="85">
        <f t="shared" si="0"/>
        <v>120</v>
      </c>
      <c r="P105" s="50">
        <f t="shared" si="12"/>
        <v>0</v>
      </c>
      <c r="Q105" s="70">
        <f t="shared" si="13"/>
        <v>0</v>
      </c>
      <c r="R105" s="70">
        <f t="shared" si="14"/>
        <v>0</v>
      </c>
      <c r="S105" s="70">
        <f t="shared" si="15"/>
        <v>0</v>
      </c>
      <c r="T105" s="70">
        <f t="shared" si="16"/>
        <v>0</v>
      </c>
      <c r="U105" s="70">
        <f t="shared" si="17"/>
        <v>0</v>
      </c>
      <c r="V105" s="70">
        <f t="shared" si="18"/>
        <v>0</v>
      </c>
      <c r="W105" s="70">
        <f t="shared" si="19"/>
        <v>0</v>
      </c>
      <c r="X105" s="85"/>
      <c r="Y105" s="85">
        <v>1</v>
      </c>
      <c r="Z105" s="85">
        <v>1</v>
      </c>
      <c r="AA105" s="86">
        <f t="shared" si="20"/>
        <v>0</v>
      </c>
      <c r="AB105" s="86">
        <f t="shared" si="21"/>
        <v>0</v>
      </c>
      <c r="AC105" s="76"/>
      <c r="AD105" s="76"/>
      <c r="AE105" s="76"/>
      <c r="AF105" s="76"/>
      <c r="AG105" s="76"/>
      <c r="AH105" s="76"/>
    </row>
    <row r="106" spans="1:34" s="11" customFormat="1" ht="21" x14ac:dyDescent="0.25">
      <c r="A106" s="85" t="s">
        <v>234</v>
      </c>
      <c r="B106" s="85" t="s">
        <v>62</v>
      </c>
      <c r="C106" s="85" t="s">
        <v>56</v>
      </c>
      <c r="D106" s="111"/>
      <c r="E106" s="111"/>
      <c r="F106" s="85">
        <v>800</v>
      </c>
      <c r="G106" s="85">
        <v>3.2</v>
      </c>
      <c r="H106" s="85">
        <v>18</v>
      </c>
      <c r="I106" s="85">
        <v>7.2</v>
      </c>
      <c r="J106" s="85">
        <v>13.2</v>
      </c>
      <c r="K106" s="85">
        <v>23.5</v>
      </c>
      <c r="L106" s="85">
        <v>66</v>
      </c>
      <c r="M106" s="85">
        <v>26.4</v>
      </c>
      <c r="N106" s="85">
        <v>78.8</v>
      </c>
      <c r="O106" s="85">
        <f t="shared" si="0"/>
        <v>84</v>
      </c>
      <c r="P106" s="50">
        <f t="shared" si="12"/>
        <v>0</v>
      </c>
      <c r="Q106" s="70">
        <f t="shared" si="13"/>
        <v>0</v>
      </c>
      <c r="R106" s="70">
        <f t="shared" si="14"/>
        <v>0</v>
      </c>
      <c r="S106" s="70">
        <f t="shared" si="15"/>
        <v>0</v>
      </c>
      <c r="T106" s="70">
        <f t="shared" si="16"/>
        <v>0</v>
      </c>
      <c r="U106" s="70">
        <f t="shared" si="17"/>
        <v>0</v>
      </c>
      <c r="V106" s="70">
        <f t="shared" si="18"/>
        <v>0</v>
      </c>
      <c r="W106" s="70">
        <f t="shared" si="19"/>
        <v>0</v>
      </c>
      <c r="X106" s="85"/>
      <c r="Y106" s="85">
        <v>1</v>
      </c>
      <c r="Z106" s="85">
        <v>1</v>
      </c>
      <c r="AA106" s="86">
        <f t="shared" si="20"/>
        <v>0</v>
      </c>
      <c r="AB106" s="86">
        <f t="shared" si="21"/>
        <v>0</v>
      </c>
      <c r="AC106" s="76"/>
      <c r="AD106" s="76"/>
      <c r="AE106" s="76"/>
      <c r="AF106" s="76"/>
      <c r="AG106" s="76"/>
      <c r="AH106" s="76"/>
    </row>
    <row r="107" spans="1:34" s="11" customFormat="1" ht="21" x14ac:dyDescent="0.25">
      <c r="A107" s="85" t="s">
        <v>238</v>
      </c>
      <c r="B107" s="85" t="s">
        <v>62</v>
      </c>
      <c r="C107" s="85" t="s">
        <v>56</v>
      </c>
      <c r="D107" s="111"/>
      <c r="E107" s="111"/>
      <c r="F107" s="85">
        <v>800</v>
      </c>
      <c r="G107" s="85">
        <v>3.2</v>
      </c>
      <c r="H107" s="85">
        <v>18</v>
      </c>
      <c r="I107" s="85">
        <v>7.2</v>
      </c>
      <c r="J107" s="85">
        <v>13.2</v>
      </c>
      <c r="K107" s="85">
        <v>23.5</v>
      </c>
      <c r="L107" s="85">
        <v>66</v>
      </c>
      <c r="M107" s="85">
        <v>26.4</v>
      </c>
      <c r="N107" s="85">
        <v>78.8</v>
      </c>
      <c r="O107" s="85">
        <f t="shared" si="0"/>
        <v>84</v>
      </c>
      <c r="P107" s="50">
        <f t="shared" si="12"/>
        <v>0</v>
      </c>
      <c r="Q107" s="70">
        <f t="shared" si="13"/>
        <v>0</v>
      </c>
      <c r="R107" s="70">
        <f t="shared" si="14"/>
        <v>0</v>
      </c>
      <c r="S107" s="70">
        <f t="shared" si="15"/>
        <v>0</v>
      </c>
      <c r="T107" s="70">
        <f t="shared" si="16"/>
        <v>0</v>
      </c>
      <c r="U107" s="70">
        <f t="shared" si="17"/>
        <v>0</v>
      </c>
      <c r="V107" s="70">
        <f t="shared" si="18"/>
        <v>0</v>
      </c>
      <c r="W107" s="70">
        <f t="shared" si="19"/>
        <v>0</v>
      </c>
      <c r="X107" s="85"/>
      <c r="Y107" s="85">
        <v>1</v>
      </c>
      <c r="Z107" s="85">
        <v>1</v>
      </c>
      <c r="AA107" s="86">
        <f t="shared" si="20"/>
        <v>0</v>
      </c>
      <c r="AB107" s="86">
        <f t="shared" si="21"/>
        <v>0</v>
      </c>
      <c r="AC107" s="76"/>
      <c r="AD107" s="76"/>
      <c r="AE107" s="76"/>
      <c r="AF107" s="76"/>
      <c r="AG107" s="76"/>
      <c r="AH107" s="76"/>
    </row>
    <row r="108" spans="1:34" s="11" customFormat="1" ht="21" x14ac:dyDescent="0.25">
      <c r="A108" s="85" t="s">
        <v>234</v>
      </c>
      <c r="B108" s="85" t="s">
        <v>62</v>
      </c>
      <c r="C108" s="85" t="s">
        <v>127</v>
      </c>
      <c r="D108" s="111"/>
      <c r="E108" s="111"/>
      <c r="F108" s="85">
        <v>800</v>
      </c>
      <c r="G108" s="85"/>
      <c r="H108" s="85"/>
      <c r="I108" s="85"/>
      <c r="J108" s="85"/>
      <c r="K108" s="85">
        <v>26.7</v>
      </c>
      <c r="L108" s="85">
        <v>84</v>
      </c>
      <c r="M108" s="85">
        <v>33.6</v>
      </c>
      <c r="N108" s="85">
        <v>92</v>
      </c>
      <c r="O108" s="85">
        <f t="shared" si="0"/>
        <v>84</v>
      </c>
      <c r="P108" s="50">
        <f t="shared" si="12"/>
        <v>0</v>
      </c>
      <c r="Q108" s="70">
        <f t="shared" si="13"/>
        <v>0</v>
      </c>
      <c r="R108" s="70">
        <f t="shared" si="14"/>
        <v>0</v>
      </c>
      <c r="S108" s="70">
        <f t="shared" si="15"/>
        <v>0</v>
      </c>
      <c r="T108" s="70">
        <f t="shared" si="16"/>
        <v>0</v>
      </c>
      <c r="U108" s="70">
        <f t="shared" si="17"/>
        <v>0</v>
      </c>
      <c r="V108" s="70">
        <f t="shared" si="18"/>
        <v>0</v>
      </c>
      <c r="W108" s="70">
        <f t="shared" si="19"/>
        <v>0</v>
      </c>
      <c r="X108" s="85"/>
      <c r="Y108" s="85">
        <v>1</v>
      </c>
      <c r="Z108" s="85">
        <v>1</v>
      </c>
      <c r="AA108" s="86">
        <f t="shared" si="20"/>
        <v>0</v>
      </c>
      <c r="AB108" s="86">
        <f t="shared" si="21"/>
        <v>0</v>
      </c>
      <c r="AC108" s="76"/>
      <c r="AD108" s="76"/>
      <c r="AE108" s="76"/>
      <c r="AF108" s="76"/>
      <c r="AG108" s="76"/>
      <c r="AH108" s="76"/>
    </row>
    <row r="109" spans="1:34" s="11" customFormat="1" ht="21" x14ac:dyDescent="0.25">
      <c r="A109" s="85" t="s">
        <v>238</v>
      </c>
      <c r="B109" s="85" t="s">
        <v>62</v>
      </c>
      <c r="C109" s="85" t="s">
        <v>127</v>
      </c>
      <c r="D109" s="111"/>
      <c r="E109" s="111"/>
      <c r="F109" s="85">
        <v>800</v>
      </c>
      <c r="G109" s="85"/>
      <c r="H109" s="85"/>
      <c r="I109" s="85"/>
      <c r="J109" s="85"/>
      <c r="K109" s="85">
        <v>26.7</v>
      </c>
      <c r="L109" s="85">
        <v>84</v>
      </c>
      <c r="M109" s="85">
        <v>33.6</v>
      </c>
      <c r="N109" s="85">
        <v>92</v>
      </c>
      <c r="O109" s="85">
        <f t="shared" si="0"/>
        <v>84</v>
      </c>
      <c r="P109" s="50">
        <f t="shared" si="12"/>
        <v>0</v>
      </c>
      <c r="Q109" s="70">
        <f t="shared" si="13"/>
        <v>0</v>
      </c>
      <c r="R109" s="70">
        <f t="shared" si="14"/>
        <v>0</v>
      </c>
      <c r="S109" s="70">
        <f t="shared" si="15"/>
        <v>0</v>
      </c>
      <c r="T109" s="70">
        <f t="shared" si="16"/>
        <v>0</v>
      </c>
      <c r="U109" s="70">
        <f t="shared" si="17"/>
        <v>0</v>
      </c>
      <c r="V109" s="70">
        <f t="shared" si="18"/>
        <v>0</v>
      </c>
      <c r="W109" s="70">
        <f t="shared" si="19"/>
        <v>0</v>
      </c>
      <c r="X109" s="85"/>
      <c r="Y109" s="85">
        <v>1</v>
      </c>
      <c r="Z109" s="85">
        <v>1</v>
      </c>
      <c r="AA109" s="86">
        <f t="shared" si="20"/>
        <v>0</v>
      </c>
      <c r="AB109" s="86">
        <f t="shared" si="21"/>
        <v>0</v>
      </c>
      <c r="AC109" s="76"/>
      <c r="AD109" s="76"/>
      <c r="AE109" s="76"/>
      <c r="AF109" s="76"/>
      <c r="AG109" s="76"/>
      <c r="AH109" s="76"/>
    </row>
    <row r="110" spans="1:34" s="11" customFormat="1" ht="21" x14ac:dyDescent="0.25">
      <c r="A110" s="85" t="s">
        <v>234</v>
      </c>
      <c r="B110" s="85" t="s">
        <v>62</v>
      </c>
      <c r="C110" s="85" t="s">
        <v>59</v>
      </c>
      <c r="D110" s="111"/>
      <c r="E110" s="111"/>
      <c r="F110" s="85">
        <v>800</v>
      </c>
      <c r="G110" s="85">
        <v>2.8</v>
      </c>
      <c r="H110" s="85">
        <v>12</v>
      </c>
      <c r="I110" s="85">
        <v>4.8</v>
      </c>
      <c r="J110" s="85">
        <v>10.6</v>
      </c>
      <c r="K110" s="85">
        <v>24</v>
      </c>
      <c r="L110" s="85">
        <v>72</v>
      </c>
      <c r="M110" s="85">
        <v>28.8</v>
      </c>
      <c r="N110" s="85">
        <v>81.400000000000006</v>
      </c>
      <c r="O110" s="85">
        <f t="shared" si="0"/>
        <v>84</v>
      </c>
      <c r="P110" s="50">
        <f t="shared" si="12"/>
        <v>0</v>
      </c>
      <c r="Q110" s="70">
        <f t="shared" si="13"/>
        <v>0</v>
      </c>
      <c r="R110" s="70">
        <f t="shared" si="14"/>
        <v>0</v>
      </c>
      <c r="S110" s="70">
        <f t="shared" si="15"/>
        <v>0</v>
      </c>
      <c r="T110" s="70">
        <f t="shared" si="16"/>
        <v>0</v>
      </c>
      <c r="U110" s="70">
        <f t="shared" si="17"/>
        <v>0</v>
      </c>
      <c r="V110" s="70">
        <f t="shared" si="18"/>
        <v>0</v>
      </c>
      <c r="W110" s="70">
        <f t="shared" si="19"/>
        <v>0</v>
      </c>
      <c r="X110" s="85"/>
      <c r="Y110" s="85">
        <v>1</v>
      </c>
      <c r="Z110" s="85">
        <v>1</v>
      </c>
      <c r="AA110" s="86">
        <f t="shared" si="20"/>
        <v>0</v>
      </c>
      <c r="AB110" s="86">
        <f t="shared" si="21"/>
        <v>0</v>
      </c>
      <c r="AC110" s="76"/>
      <c r="AD110" s="76"/>
      <c r="AE110" s="76"/>
      <c r="AF110" s="76"/>
      <c r="AG110" s="76"/>
      <c r="AH110" s="76"/>
    </row>
    <row r="111" spans="1:34" s="11" customFormat="1" ht="21" x14ac:dyDescent="0.25">
      <c r="A111" s="85" t="s">
        <v>238</v>
      </c>
      <c r="B111" s="85" t="s">
        <v>62</v>
      </c>
      <c r="C111" s="85" t="s">
        <v>59</v>
      </c>
      <c r="D111" s="111"/>
      <c r="E111" s="111"/>
      <c r="F111" s="85">
        <v>800</v>
      </c>
      <c r="G111" s="85">
        <v>2.8</v>
      </c>
      <c r="H111" s="85">
        <v>12</v>
      </c>
      <c r="I111" s="85">
        <v>4.8</v>
      </c>
      <c r="J111" s="85">
        <v>10.6</v>
      </c>
      <c r="K111" s="85">
        <v>24</v>
      </c>
      <c r="L111" s="85">
        <v>72</v>
      </c>
      <c r="M111" s="85">
        <v>28.8</v>
      </c>
      <c r="N111" s="85">
        <v>81.400000000000006</v>
      </c>
      <c r="O111" s="85">
        <f t="shared" si="0"/>
        <v>84</v>
      </c>
      <c r="P111" s="50">
        <f t="shared" si="12"/>
        <v>0</v>
      </c>
      <c r="Q111" s="70">
        <f t="shared" si="13"/>
        <v>0</v>
      </c>
      <c r="R111" s="70">
        <f t="shared" si="14"/>
        <v>0</v>
      </c>
      <c r="S111" s="70">
        <f t="shared" si="15"/>
        <v>0</v>
      </c>
      <c r="T111" s="70">
        <f t="shared" si="16"/>
        <v>0</v>
      </c>
      <c r="U111" s="70">
        <f t="shared" si="17"/>
        <v>0</v>
      </c>
      <c r="V111" s="70">
        <f t="shared" si="18"/>
        <v>0</v>
      </c>
      <c r="W111" s="70">
        <f t="shared" si="19"/>
        <v>0</v>
      </c>
      <c r="X111" s="85"/>
      <c r="Y111" s="85">
        <v>1</v>
      </c>
      <c r="Z111" s="85">
        <v>1</v>
      </c>
      <c r="AA111" s="86">
        <f t="shared" si="20"/>
        <v>0</v>
      </c>
      <c r="AB111" s="86">
        <f t="shared" si="21"/>
        <v>0</v>
      </c>
      <c r="AC111" s="76"/>
      <c r="AD111" s="76"/>
      <c r="AE111" s="76"/>
      <c r="AF111" s="76"/>
      <c r="AG111" s="76"/>
      <c r="AH111" s="76"/>
    </row>
    <row r="112" spans="1:34" s="11" customFormat="1" ht="21" x14ac:dyDescent="0.25">
      <c r="A112" s="85" t="s">
        <v>234</v>
      </c>
      <c r="B112" s="85" t="s">
        <v>62</v>
      </c>
      <c r="C112" s="85" t="s">
        <v>128</v>
      </c>
      <c r="D112" s="111"/>
      <c r="E112" s="111"/>
      <c r="F112" s="85">
        <v>800</v>
      </c>
      <c r="G112" s="85"/>
      <c r="H112" s="85"/>
      <c r="I112" s="85"/>
      <c r="J112" s="85"/>
      <c r="K112" s="85">
        <v>26.8</v>
      </c>
      <c r="L112" s="85">
        <v>84</v>
      </c>
      <c r="M112" s="85">
        <v>33.6</v>
      </c>
      <c r="N112" s="85">
        <v>92</v>
      </c>
      <c r="O112" s="85">
        <f t="shared" si="0"/>
        <v>84</v>
      </c>
      <c r="P112" s="50">
        <f t="shared" si="12"/>
        <v>0</v>
      </c>
      <c r="Q112" s="70">
        <f t="shared" si="13"/>
        <v>0</v>
      </c>
      <c r="R112" s="70">
        <f t="shared" si="14"/>
        <v>0</v>
      </c>
      <c r="S112" s="70">
        <f t="shared" si="15"/>
        <v>0</v>
      </c>
      <c r="T112" s="70">
        <f t="shared" si="16"/>
        <v>0</v>
      </c>
      <c r="U112" s="70">
        <f t="shared" si="17"/>
        <v>0</v>
      </c>
      <c r="V112" s="70">
        <f t="shared" si="18"/>
        <v>0</v>
      </c>
      <c r="W112" s="70">
        <f t="shared" si="19"/>
        <v>0</v>
      </c>
      <c r="X112" s="85"/>
      <c r="Y112" s="85">
        <v>1</v>
      </c>
      <c r="Z112" s="85">
        <v>1</v>
      </c>
      <c r="AA112" s="86">
        <f t="shared" si="20"/>
        <v>0</v>
      </c>
      <c r="AB112" s="86">
        <f t="shared" si="21"/>
        <v>0</v>
      </c>
      <c r="AC112" s="76"/>
      <c r="AD112" s="76"/>
      <c r="AE112" s="76"/>
      <c r="AF112" s="76"/>
      <c r="AG112" s="76"/>
      <c r="AH112" s="76"/>
    </row>
    <row r="113" spans="1:34" s="11" customFormat="1" ht="21" x14ac:dyDescent="0.25">
      <c r="A113" s="85" t="s">
        <v>238</v>
      </c>
      <c r="B113" s="85" t="s">
        <v>62</v>
      </c>
      <c r="C113" s="85" t="s">
        <v>128</v>
      </c>
      <c r="D113" s="111"/>
      <c r="E113" s="111"/>
      <c r="F113" s="85">
        <v>800</v>
      </c>
      <c r="G113" s="85"/>
      <c r="H113" s="85"/>
      <c r="I113" s="85"/>
      <c r="J113" s="85"/>
      <c r="K113" s="85">
        <v>26.8</v>
      </c>
      <c r="L113" s="85">
        <v>84</v>
      </c>
      <c r="M113" s="85">
        <v>33.6</v>
      </c>
      <c r="N113" s="85">
        <v>92</v>
      </c>
      <c r="O113" s="85">
        <f t="shared" si="0"/>
        <v>84</v>
      </c>
      <c r="P113" s="50">
        <f t="shared" si="12"/>
        <v>0</v>
      </c>
      <c r="Q113" s="70">
        <f t="shared" si="13"/>
        <v>0</v>
      </c>
      <c r="R113" s="70">
        <f t="shared" si="14"/>
        <v>0</v>
      </c>
      <c r="S113" s="70">
        <f t="shared" si="15"/>
        <v>0</v>
      </c>
      <c r="T113" s="70">
        <f t="shared" si="16"/>
        <v>0</v>
      </c>
      <c r="U113" s="70">
        <f t="shared" si="17"/>
        <v>0</v>
      </c>
      <c r="V113" s="70">
        <f t="shared" si="18"/>
        <v>0</v>
      </c>
      <c r="W113" s="70">
        <f t="shared" si="19"/>
        <v>0</v>
      </c>
      <c r="X113" s="85"/>
      <c r="Y113" s="85">
        <v>1</v>
      </c>
      <c r="Z113" s="85">
        <v>1</v>
      </c>
      <c r="AA113" s="86">
        <f t="shared" si="20"/>
        <v>0</v>
      </c>
      <c r="AB113" s="86">
        <f t="shared" si="21"/>
        <v>0</v>
      </c>
      <c r="AC113" s="76"/>
      <c r="AD113" s="76"/>
      <c r="AE113" s="76"/>
      <c r="AF113" s="76"/>
      <c r="AG113" s="76"/>
      <c r="AH113" s="76"/>
    </row>
    <row r="114" spans="1:34" s="11" customFormat="1" ht="21" x14ac:dyDescent="0.25">
      <c r="A114" s="85" t="s">
        <v>234</v>
      </c>
      <c r="B114" s="85" t="s">
        <v>62</v>
      </c>
      <c r="C114" s="85" t="s">
        <v>46</v>
      </c>
      <c r="D114" s="111"/>
      <c r="E114" s="111"/>
      <c r="F114" s="85">
        <v>800</v>
      </c>
      <c r="G114" s="85">
        <v>16</v>
      </c>
      <c r="H114" s="85">
        <v>43</v>
      </c>
      <c r="I114" s="85">
        <v>17.2</v>
      </c>
      <c r="J114" s="85">
        <v>49.2</v>
      </c>
      <c r="K114" s="85">
        <v>13.9</v>
      </c>
      <c r="L114" s="85">
        <v>41</v>
      </c>
      <c r="M114" s="85">
        <v>16.399999999999999</v>
      </c>
      <c r="N114" s="85">
        <v>42.8</v>
      </c>
      <c r="O114" s="85">
        <f t="shared" si="0"/>
        <v>84</v>
      </c>
      <c r="P114" s="50">
        <f t="shared" si="12"/>
        <v>0</v>
      </c>
      <c r="Q114" s="70">
        <f t="shared" si="13"/>
        <v>0</v>
      </c>
      <c r="R114" s="70">
        <f t="shared" si="14"/>
        <v>0</v>
      </c>
      <c r="S114" s="70">
        <f t="shared" si="15"/>
        <v>0</v>
      </c>
      <c r="T114" s="70">
        <f t="shared" si="16"/>
        <v>0</v>
      </c>
      <c r="U114" s="70">
        <f t="shared" si="17"/>
        <v>0</v>
      </c>
      <c r="V114" s="70">
        <f t="shared" si="18"/>
        <v>0</v>
      </c>
      <c r="W114" s="70">
        <f t="shared" si="19"/>
        <v>0</v>
      </c>
      <c r="X114" s="85"/>
      <c r="Y114" s="85">
        <v>1</v>
      </c>
      <c r="Z114" s="85">
        <v>1</v>
      </c>
      <c r="AA114" s="86">
        <f t="shared" si="20"/>
        <v>0</v>
      </c>
      <c r="AB114" s="86">
        <f t="shared" si="21"/>
        <v>0</v>
      </c>
      <c r="AC114" s="76"/>
      <c r="AD114" s="76"/>
      <c r="AE114" s="76"/>
      <c r="AF114" s="76"/>
      <c r="AG114" s="76"/>
      <c r="AH114" s="76"/>
    </row>
    <row r="115" spans="1:34" s="11" customFormat="1" ht="21" x14ac:dyDescent="0.25">
      <c r="A115" s="85" t="s">
        <v>238</v>
      </c>
      <c r="B115" s="85" t="s">
        <v>62</v>
      </c>
      <c r="C115" s="85" t="s">
        <v>46</v>
      </c>
      <c r="D115" s="111"/>
      <c r="E115" s="111"/>
      <c r="F115" s="85">
        <v>800</v>
      </c>
      <c r="G115" s="85">
        <v>16</v>
      </c>
      <c r="H115" s="85">
        <v>43</v>
      </c>
      <c r="I115" s="85">
        <v>17.2</v>
      </c>
      <c r="J115" s="85">
        <v>49.2</v>
      </c>
      <c r="K115" s="85">
        <v>13.9</v>
      </c>
      <c r="L115" s="85">
        <v>41</v>
      </c>
      <c r="M115" s="85">
        <v>16.399999999999999</v>
      </c>
      <c r="N115" s="85">
        <v>42.8</v>
      </c>
      <c r="O115" s="85">
        <f t="shared" si="0"/>
        <v>84</v>
      </c>
      <c r="P115" s="50">
        <f t="shared" si="12"/>
        <v>0</v>
      </c>
      <c r="Q115" s="70">
        <f t="shared" si="13"/>
        <v>0</v>
      </c>
      <c r="R115" s="70">
        <f t="shared" si="14"/>
        <v>0</v>
      </c>
      <c r="S115" s="70">
        <f t="shared" si="15"/>
        <v>0</v>
      </c>
      <c r="T115" s="70">
        <f t="shared" si="16"/>
        <v>0</v>
      </c>
      <c r="U115" s="70">
        <f t="shared" si="17"/>
        <v>0</v>
      </c>
      <c r="V115" s="70">
        <f t="shared" si="18"/>
        <v>0</v>
      </c>
      <c r="W115" s="70">
        <f t="shared" si="19"/>
        <v>0</v>
      </c>
      <c r="X115" s="85"/>
      <c r="Y115" s="85">
        <v>1</v>
      </c>
      <c r="Z115" s="85">
        <v>1</v>
      </c>
      <c r="AA115" s="86">
        <f t="shared" si="20"/>
        <v>0</v>
      </c>
      <c r="AB115" s="86">
        <f t="shared" si="21"/>
        <v>0</v>
      </c>
      <c r="AC115" s="76"/>
      <c r="AD115" s="76"/>
      <c r="AE115" s="76"/>
      <c r="AF115" s="76"/>
      <c r="AG115" s="76"/>
      <c r="AH115" s="76"/>
    </row>
    <row r="116" spans="1:34" s="11" customFormat="1" ht="21" x14ac:dyDescent="0.25">
      <c r="A116" s="85" t="s">
        <v>234</v>
      </c>
      <c r="B116" s="85" t="s">
        <v>62</v>
      </c>
      <c r="C116" s="85" t="s">
        <v>47</v>
      </c>
      <c r="D116" s="111"/>
      <c r="E116" s="111"/>
      <c r="F116" s="85">
        <v>800</v>
      </c>
      <c r="G116" s="85">
        <v>9</v>
      </c>
      <c r="H116" s="85">
        <v>41</v>
      </c>
      <c r="I116" s="85">
        <v>16.399999999999999</v>
      </c>
      <c r="J116" s="85">
        <v>27.1</v>
      </c>
      <c r="K116" s="85">
        <v>21.5</v>
      </c>
      <c r="L116" s="85">
        <v>43</v>
      </c>
      <c r="M116" s="85">
        <v>17.2</v>
      </c>
      <c r="N116" s="85">
        <v>64.900000000000006</v>
      </c>
      <c r="O116" s="85">
        <f t="shared" si="0"/>
        <v>84</v>
      </c>
      <c r="P116" s="50">
        <f t="shared" si="12"/>
        <v>0</v>
      </c>
      <c r="Q116" s="70">
        <f t="shared" si="13"/>
        <v>0</v>
      </c>
      <c r="R116" s="70">
        <f t="shared" si="14"/>
        <v>0</v>
      </c>
      <c r="S116" s="70">
        <f t="shared" si="15"/>
        <v>0</v>
      </c>
      <c r="T116" s="70">
        <f t="shared" si="16"/>
        <v>0</v>
      </c>
      <c r="U116" s="70">
        <f t="shared" si="17"/>
        <v>0</v>
      </c>
      <c r="V116" s="70">
        <f t="shared" si="18"/>
        <v>0</v>
      </c>
      <c r="W116" s="70">
        <f t="shared" si="19"/>
        <v>0</v>
      </c>
      <c r="X116" s="85"/>
      <c r="Y116" s="85">
        <v>1</v>
      </c>
      <c r="Z116" s="85">
        <v>1</v>
      </c>
      <c r="AA116" s="86">
        <f t="shared" si="20"/>
        <v>0</v>
      </c>
      <c r="AB116" s="86">
        <f t="shared" si="21"/>
        <v>0</v>
      </c>
      <c r="AC116" s="76"/>
      <c r="AD116" s="76"/>
      <c r="AE116" s="76"/>
      <c r="AF116" s="76"/>
      <c r="AG116" s="76"/>
      <c r="AH116" s="76"/>
    </row>
    <row r="117" spans="1:34" s="11" customFormat="1" ht="21" x14ac:dyDescent="0.25">
      <c r="A117" s="85" t="s">
        <v>238</v>
      </c>
      <c r="B117" s="85" t="s">
        <v>62</v>
      </c>
      <c r="C117" s="85" t="s">
        <v>47</v>
      </c>
      <c r="D117" s="111"/>
      <c r="E117" s="111"/>
      <c r="F117" s="85">
        <v>800</v>
      </c>
      <c r="G117" s="85">
        <v>9</v>
      </c>
      <c r="H117" s="85">
        <v>41</v>
      </c>
      <c r="I117" s="85">
        <v>16.399999999999999</v>
      </c>
      <c r="J117" s="85">
        <v>27.1</v>
      </c>
      <c r="K117" s="85">
        <v>21.5</v>
      </c>
      <c r="L117" s="85">
        <v>43</v>
      </c>
      <c r="M117" s="85">
        <v>17.2</v>
      </c>
      <c r="N117" s="85">
        <v>64.900000000000006</v>
      </c>
      <c r="O117" s="85">
        <f t="shared" si="0"/>
        <v>84</v>
      </c>
      <c r="P117" s="50">
        <f t="shared" si="12"/>
        <v>0</v>
      </c>
      <c r="Q117" s="70">
        <f t="shared" si="13"/>
        <v>0</v>
      </c>
      <c r="R117" s="70">
        <f t="shared" si="14"/>
        <v>0</v>
      </c>
      <c r="S117" s="70">
        <f t="shared" si="15"/>
        <v>0</v>
      </c>
      <c r="T117" s="70">
        <f t="shared" si="16"/>
        <v>0</v>
      </c>
      <c r="U117" s="70">
        <f t="shared" si="17"/>
        <v>0</v>
      </c>
      <c r="V117" s="70">
        <f t="shared" si="18"/>
        <v>0</v>
      </c>
      <c r="W117" s="70">
        <f t="shared" si="19"/>
        <v>0</v>
      </c>
      <c r="X117" s="85"/>
      <c r="Y117" s="85">
        <v>1</v>
      </c>
      <c r="Z117" s="85">
        <v>1</v>
      </c>
      <c r="AA117" s="86">
        <f t="shared" si="20"/>
        <v>0</v>
      </c>
      <c r="AB117" s="86">
        <f t="shared" si="21"/>
        <v>0</v>
      </c>
      <c r="AC117" s="76"/>
      <c r="AD117" s="76"/>
      <c r="AE117" s="76"/>
      <c r="AF117" s="76"/>
      <c r="AG117" s="76"/>
      <c r="AH117" s="76"/>
    </row>
    <row r="118" spans="1:34" s="11" customFormat="1" ht="21" x14ac:dyDescent="0.25">
      <c r="A118" s="85" t="s">
        <v>234</v>
      </c>
      <c r="B118" s="85" t="s">
        <v>62</v>
      </c>
      <c r="C118" s="85" t="s">
        <v>45</v>
      </c>
      <c r="D118" s="111"/>
      <c r="E118" s="111"/>
      <c r="F118" s="85">
        <v>800</v>
      </c>
      <c r="G118" s="85">
        <v>26</v>
      </c>
      <c r="H118" s="85">
        <v>84</v>
      </c>
      <c r="I118" s="85">
        <v>33.6</v>
      </c>
      <c r="J118" s="85">
        <v>92</v>
      </c>
      <c r="K118" s="85"/>
      <c r="L118" s="85"/>
      <c r="M118" s="85"/>
      <c r="N118" s="85"/>
      <c r="O118" s="85">
        <f t="shared" si="0"/>
        <v>84</v>
      </c>
      <c r="P118" s="50">
        <f t="shared" si="12"/>
        <v>0</v>
      </c>
      <c r="Q118" s="70">
        <f t="shared" si="13"/>
        <v>0</v>
      </c>
      <c r="R118" s="70">
        <f t="shared" si="14"/>
        <v>0</v>
      </c>
      <c r="S118" s="70">
        <f t="shared" si="15"/>
        <v>0</v>
      </c>
      <c r="T118" s="70">
        <f t="shared" si="16"/>
        <v>0</v>
      </c>
      <c r="U118" s="70">
        <f t="shared" si="17"/>
        <v>0</v>
      </c>
      <c r="V118" s="70">
        <f t="shared" si="18"/>
        <v>0</v>
      </c>
      <c r="W118" s="70">
        <f t="shared" si="19"/>
        <v>0</v>
      </c>
      <c r="X118" s="85"/>
      <c r="Y118" s="85">
        <v>1</v>
      </c>
      <c r="Z118" s="85">
        <v>1</v>
      </c>
      <c r="AA118" s="86">
        <f t="shared" si="20"/>
        <v>0</v>
      </c>
      <c r="AB118" s="86">
        <f t="shared" si="21"/>
        <v>0</v>
      </c>
      <c r="AC118" s="76"/>
      <c r="AD118" s="76"/>
      <c r="AE118" s="76"/>
      <c r="AF118" s="76"/>
      <c r="AG118" s="76"/>
      <c r="AH118" s="76"/>
    </row>
    <row r="119" spans="1:34" s="11" customFormat="1" ht="21" x14ac:dyDescent="0.25">
      <c r="A119" s="85" t="s">
        <v>238</v>
      </c>
      <c r="B119" s="85" t="s">
        <v>62</v>
      </c>
      <c r="C119" s="85" t="s">
        <v>45</v>
      </c>
      <c r="D119" s="111"/>
      <c r="E119" s="111"/>
      <c r="F119" s="85">
        <v>800</v>
      </c>
      <c r="G119" s="85">
        <v>26</v>
      </c>
      <c r="H119" s="85">
        <v>84</v>
      </c>
      <c r="I119" s="85">
        <v>33.6</v>
      </c>
      <c r="J119" s="85">
        <v>92</v>
      </c>
      <c r="K119" s="85"/>
      <c r="L119" s="85"/>
      <c r="M119" s="85"/>
      <c r="N119" s="85"/>
      <c r="O119" s="85">
        <f t="shared" si="0"/>
        <v>84</v>
      </c>
      <c r="P119" s="50">
        <f t="shared" si="12"/>
        <v>0</v>
      </c>
      <c r="Q119" s="70">
        <f t="shared" si="13"/>
        <v>0</v>
      </c>
      <c r="R119" s="70">
        <f t="shared" si="14"/>
        <v>0</v>
      </c>
      <c r="S119" s="70">
        <f t="shared" si="15"/>
        <v>0</v>
      </c>
      <c r="T119" s="70">
        <f t="shared" si="16"/>
        <v>0</v>
      </c>
      <c r="U119" s="70">
        <f t="shared" si="17"/>
        <v>0</v>
      </c>
      <c r="V119" s="70">
        <f t="shared" si="18"/>
        <v>0</v>
      </c>
      <c r="W119" s="70">
        <f t="shared" si="19"/>
        <v>0</v>
      </c>
      <c r="X119" s="85"/>
      <c r="Y119" s="85">
        <v>1</v>
      </c>
      <c r="Z119" s="85">
        <v>1</v>
      </c>
      <c r="AA119" s="86">
        <f t="shared" si="20"/>
        <v>0</v>
      </c>
      <c r="AB119" s="86">
        <f t="shared" si="21"/>
        <v>0</v>
      </c>
      <c r="AC119" s="76"/>
      <c r="AD119" s="76"/>
      <c r="AE119" s="76"/>
      <c r="AF119" s="76"/>
      <c r="AG119" s="76"/>
      <c r="AH119" s="76"/>
    </row>
    <row r="120" spans="1:34" s="11" customFormat="1" ht="21" x14ac:dyDescent="0.25">
      <c r="A120" s="85" t="s">
        <v>234</v>
      </c>
      <c r="B120" s="85" t="s">
        <v>62</v>
      </c>
      <c r="C120" s="85" t="s">
        <v>57</v>
      </c>
      <c r="D120" s="111"/>
      <c r="E120" s="111"/>
      <c r="F120" s="85">
        <v>800</v>
      </c>
      <c r="G120" s="85">
        <v>26</v>
      </c>
      <c r="H120" s="85">
        <v>84</v>
      </c>
      <c r="I120" s="85">
        <v>33.6</v>
      </c>
      <c r="J120" s="85">
        <v>92</v>
      </c>
      <c r="K120" s="85"/>
      <c r="L120" s="85"/>
      <c r="M120" s="85"/>
      <c r="N120" s="85"/>
      <c r="O120" s="85">
        <f t="shared" si="0"/>
        <v>84</v>
      </c>
      <c r="P120" s="50">
        <f t="shared" si="12"/>
        <v>0</v>
      </c>
      <c r="Q120" s="70">
        <f t="shared" si="13"/>
        <v>0</v>
      </c>
      <c r="R120" s="70">
        <f t="shared" si="14"/>
        <v>0</v>
      </c>
      <c r="S120" s="70">
        <f t="shared" si="15"/>
        <v>0</v>
      </c>
      <c r="T120" s="70">
        <f t="shared" si="16"/>
        <v>0</v>
      </c>
      <c r="U120" s="70">
        <f t="shared" si="17"/>
        <v>0</v>
      </c>
      <c r="V120" s="70">
        <f t="shared" si="18"/>
        <v>0</v>
      </c>
      <c r="W120" s="70">
        <f t="shared" si="19"/>
        <v>0</v>
      </c>
      <c r="X120" s="85"/>
      <c r="Y120" s="85">
        <v>1</v>
      </c>
      <c r="Z120" s="85">
        <v>1</v>
      </c>
      <c r="AA120" s="86">
        <f t="shared" si="20"/>
        <v>0</v>
      </c>
      <c r="AB120" s="86">
        <f t="shared" si="21"/>
        <v>0</v>
      </c>
      <c r="AC120" s="76"/>
      <c r="AD120" s="76"/>
      <c r="AE120" s="76"/>
      <c r="AF120" s="76"/>
      <c r="AG120" s="76"/>
      <c r="AH120" s="76"/>
    </row>
    <row r="121" spans="1:34" s="11" customFormat="1" ht="21" x14ac:dyDescent="0.25">
      <c r="A121" s="85" t="s">
        <v>238</v>
      </c>
      <c r="B121" s="85" t="s">
        <v>62</v>
      </c>
      <c r="C121" s="85" t="s">
        <v>57</v>
      </c>
      <c r="D121" s="111"/>
      <c r="E121" s="111"/>
      <c r="F121" s="85">
        <v>800</v>
      </c>
      <c r="G121" s="85">
        <v>26</v>
      </c>
      <c r="H121" s="85">
        <v>84</v>
      </c>
      <c r="I121" s="85">
        <v>33.6</v>
      </c>
      <c r="J121" s="85">
        <v>92</v>
      </c>
      <c r="K121" s="85"/>
      <c r="L121" s="85"/>
      <c r="M121" s="85"/>
      <c r="N121" s="85"/>
      <c r="O121" s="85">
        <f t="shared" si="0"/>
        <v>84</v>
      </c>
      <c r="P121" s="50">
        <f t="shared" si="12"/>
        <v>0</v>
      </c>
      <c r="Q121" s="70">
        <f t="shared" si="13"/>
        <v>0</v>
      </c>
      <c r="R121" s="70">
        <f t="shared" si="14"/>
        <v>0</v>
      </c>
      <c r="S121" s="70">
        <f t="shared" si="15"/>
        <v>0</v>
      </c>
      <c r="T121" s="70">
        <f t="shared" si="16"/>
        <v>0</v>
      </c>
      <c r="U121" s="70">
        <f t="shared" si="17"/>
        <v>0</v>
      </c>
      <c r="V121" s="70">
        <f t="shared" si="18"/>
        <v>0</v>
      </c>
      <c r="W121" s="70">
        <f t="shared" si="19"/>
        <v>0</v>
      </c>
      <c r="X121" s="85"/>
      <c r="Y121" s="85">
        <v>1</v>
      </c>
      <c r="Z121" s="85">
        <v>1</v>
      </c>
      <c r="AA121" s="86">
        <f t="shared" si="20"/>
        <v>0</v>
      </c>
      <c r="AB121" s="86">
        <f t="shared" si="21"/>
        <v>0</v>
      </c>
      <c r="AC121" s="76"/>
      <c r="AD121" s="76"/>
      <c r="AE121" s="76"/>
      <c r="AF121" s="76"/>
      <c r="AG121" s="76"/>
      <c r="AH121" s="76"/>
    </row>
    <row r="122" spans="1:34" s="11" customFormat="1" ht="21" x14ac:dyDescent="0.25">
      <c r="A122" s="85" t="s">
        <v>234</v>
      </c>
      <c r="B122" s="85" t="s">
        <v>62</v>
      </c>
      <c r="C122" s="85" t="s">
        <v>49</v>
      </c>
      <c r="D122" s="111"/>
      <c r="E122" s="111"/>
      <c r="F122" s="85">
        <v>800</v>
      </c>
      <c r="G122" s="85">
        <v>2.8</v>
      </c>
      <c r="H122" s="85">
        <v>12</v>
      </c>
      <c r="I122" s="85">
        <v>4.8</v>
      </c>
      <c r="J122" s="85">
        <v>8.6</v>
      </c>
      <c r="K122" s="85">
        <v>24</v>
      </c>
      <c r="L122" s="85">
        <v>72</v>
      </c>
      <c r="M122" s="85">
        <v>28.8</v>
      </c>
      <c r="N122" s="85">
        <v>83.4</v>
      </c>
      <c r="O122" s="85">
        <f t="shared" si="0"/>
        <v>84</v>
      </c>
      <c r="P122" s="50">
        <f t="shared" si="12"/>
        <v>0</v>
      </c>
      <c r="Q122" s="70">
        <f t="shared" si="13"/>
        <v>0</v>
      </c>
      <c r="R122" s="70">
        <f t="shared" si="14"/>
        <v>0</v>
      </c>
      <c r="S122" s="70">
        <f t="shared" si="15"/>
        <v>0</v>
      </c>
      <c r="T122" s="70">
        <f t="shared" si="16"/>
        <v>0</v>
      </c>
      <c r="U122" s="70">
        <f t="shared" si="17"/>
        <v>0</v>
      </c>
      <c r="V122" s="70">
        <f t="shared" si="18"/>
        <v>0</v>
      </c>
      <c r="W122" s="70">
        <f t="shared" si="19"/>
        <v>0</v>
      </c>
      <c r="X122" s="85"/>
      <c r="Y122" s="85">
        <v>1</v>
      </c>
      <c r="Z122" s="85">
        <v>1</v>
      </c>
      <c r="AA122" s="86">
        <f t="shared" si="20"/>
        <v>0</v>
      </c>
      <c r="AB122" s="86">
        <f t="shared" si="21"/>
        <v>0</v>
      </c>
      <c r="AC122" s="76"/>
      <c r="AD122" s="76"/>
      <c r="AE122" s="76"/>
      <c r="AF122" s="76"/>
      <c r="AG122" s="76"/>
      <c r="AH122" s="76"/>
    </row>
    <row r="123" spans="1:34" s="11" customFormat="1" ht="21" x14ac:dyDescent="0.25">
      <c r="A123" s="85" t="s">
        <v>238</v>
      </c>
      <c r="B123" s="85" t="s">
        <v>62</v>
      </c>
      <c r="C123" s="85" t="s">
        <v>49</v>
      </c>
      <c r="D123" s="111"/>
      <c r="E123" s="111"/>
      <c r="F123" s="85">
        <v>800</v>
      </c>
      <c r="G123" s="85">
        <v>2.8</v>
      </c>
      <c r="H123" s="85">
        <v>12</v>
      </c>
      <c r="I123" s="85">
        <v>4.8</v>
      </c>
      <c r="J123" s="85">
        <v>8.6</v>
      </c>
      <c r="K123" s="85">
        <v>24</v>
      </c>
      <c r="L123" s="85">
        <v>72</v>
      </c>
      <c r="M123" s="85">
        <v>28.8</v>
      </c>
      <c r="N123" s="85">
        <v>83.4</v>
      </c>
      <c r="O123" s="85">
        <f t="shared" si="0"/>
        <v>84</v>
      </c>
      <c r="P123" s="50">
        <f t="shared" si="12"/>
        <v>0</v>
      </c>
      <c r="Q123" s="70">
        <f t="shared" si="13"/>
        <v>0</v>
      </c>
      <c r="R123" s="70">
        <f t="shared" si="14"/>
        <v>0</v>
      </c>
      <c r="S123" s="70">
        <f t="shared" si="15"/>
        <v>0</v>
      </c>
      <c r="T123" s="70">
        <f t="shared" si="16"/>
        <v>0</v>
      </c>
      <c r="U123" s="70">
        <f t="shared" si="17"/>
        <v>0</v>
      </c>
      <c r="V123" s="70">
        <f t="shared" si="18"/>
        <v>0</v>
      </c>
      <c r="W123" s="70">
        <f t="shared" si="19"/>
        <v>0</v>
      </c>
      <c r="X123" s="85"/>
      <c r="Y123" s="85">
        <v>1</v>
      </c>
      <c r="Z123" s="85">
        <v>1</v>
      </c>
      <c r="AA123" s="86">
        <f t="shared" si="20"/>
        <v>0</v>
      </c>
      <c r="AB123" s="86">
        <f t="shared" si="21"/>
        <v>0</v>
      </c>
      <c r="AC123" s="76"/>
      <c r="AD123" s="76"/>
      <c r="AE123" s="76"/>
      <c r="AF123" s="76"/>
      <c r="AG123" s="76"/>
      <c r="AH123" s="76"/>
    </row>
    <row r="124" spans="1:34" s="11" customFormat="1" ht="21" x14ac:dyDescent="0.25">
      <c r="A124" s="85" t="s">
        <v>234</v>
      </c>
      <c r="B124" s="85" t="s">
        <v>62</v>
      </c>
      <c r="C124" s="85" t="s">
        <v>126</v>
      </c>
      <c r="D124" s="111"/>
      <c r="E124" s="111"/>
      <c r="F124" s="85">
        <v>800</v>
      </c>
      <c r="G124" s="85"/>
      <c r="H124" s="85"/>
      <c r="I124" s="85"/>
      <c r="J124" s="85"/>
      <c r="K124" s="85">
        <v>26.8</v>
      </c>
      <c r="L124" s="85">
        <v>84</v>
      </c>
      <c r="M124" s="85">
        <v>33.6</v>
      </c>
      <c r="N124" s="85">
        <v>92</v>
      </c>
      <c r="O124" s="85">
        <f t="shared" si="0"/>
        <v>84</v>
      </c>
      <c r="P124" s="50">
        <f t="shared" si="12"/>
        <v>0</v>
      </c>
      <c r="Q124" s="70">
        <f t="shared" si="13"/>
        <v>0</v>
      </c>
      <c r="R124" s="70">
        <f t="shared" si="14"/>
        <v>0</v>
      </c>
      <c r="S124" s="70">
        <f t="shared" si="15"/>
        <v>0</v>
      </c>
      <c r="T124" s="70">
        <f t="shared" si="16"/>
        <v>0</v>
      </c>
      <c r="U124" s="70">
        <f t="shared" si="17"/>
        <v>0</v>
      </c>
      <c r="V124" s="70">
        <f t="shared" si="18"/>
        <v>0</v>
      </c>
      <c r="W124" s="70">
        <f t="shared" si="19"/>
        <v>0</v>
      </c>
      <c r="X124" s="85"/>
      <c r="Y124" s="85">
        <v>1</v>
      </c>
      <c r="Z124" s="85">
        <v>1</v>
      </c>
      <c r="AA124" s="86">
        <f t="shared" si="20"/>
        <v>0</v>
      </c>
      <c r="AB124" s="86">
        <f t="shared" si="21"/>
        <v>0</v>
      </c>
      <c r="AC124" s="76"/>
      <c r="AD124" s="76"/>
      <c r="AE124" s="76"/>
      <c r="AF124" s="76"/>
      <c r="AG124" s="76"/>
      <c r="AH124" s="76"/>
    </row>
    <row r="125" spans="1:34" s="11" customFormat="1" ht="21" x14ac:dyDescent="0.25">
      <c r="A125" s="85" t="s">
        <v>238</v>
      </c>
      <c r="B125" s="85" t="s">
        <v>62</v>
      </c>
      <c r="C125" s="85" t="s">
        <v>126</v>
      </c>
      <c r="D125" s="111"/>
      <c r="E125" s="111"/>
      <c r="F125" s="85">
        <v>800</v>
      </c>
      <c r="G125" s="85"/>
      <c r="H125" s="85"/>
      <c r="I125" s="85"/>
      <c r="J125" s="85"/>
      <c r="K125" s="85">
        <v>26.8</v>
      </c>
      <c r="L125" s="85">
        <v>84</v>
      </c>
      <c r="M125" s="85">
        <v>33.6</v>
      </c>
      <c r="N125" s="85">
        <v>92</v>
      </c>
      <c r="O125" s="85">
        <f t="shared" si="0"/>
        <v>84</v>
      </c>
      <c r="P125" s="50">
        <f t="shared" si="12"/>
        <v>0</v>
      </c>
      <c r="Q125" s="70">
        <f t="shared" si="13"/>
        <v>0</v>
      </c>
      <c r="R125" s="70">
        <f t="shared" si="14"/>
        <v>0</v>
      </c>
      <c r="S125" s="70">
        <f t="shared" si="15"/>
        <v>0</v>
      </c>
      <c r="T125" s="70">
        <f t="shared" si="16"/>
        <v>0</v>
      </c>
      <c r="U125" s="70">
        <f t="shared" si="17"/>
        <v>0</v>
      </c>
      <c r="V125" s="70">
        <f t="shared" si="18"/>
        <v>0</v>
      </c>
      <c r="W125" s="70">
        <f t="shared" si="19"/>
        <v>0</v>
      </c>
      <c r="X125" s="85"/>
      <c r="Y125" s="85">
        <v>1</v>
      </c>
      <c r="Z125" s="85">
        <v>1</v>
      </c>
      <c r="AA125" s="86">
        <f t="shared" si="20"/>
        <v>0</v>
      </c>
      <c r="AB125" s="86">
        <f t="shared" si="21"/>
        <v>0</v>
      </c>
      <c r="AC125" s="76"/>
      <c r="AD125" s="76"/>
      <c r="AE125" s="76"/>
      <c r="AF125" s="76"/>
      <c r="AG125" s="76"/>
      <c r="AH125" s="76"/>
    </row>
    <row r="126" spans="1:34" s="11" customFormat="1" ht="21" x14ac:dyDescent="0.25">
      <c r="A126" s="85" t="s">
        <v>234</v>
      </c>
      <c r="B126" s="85" t="s">
        <v>62</v>
      </c>
      <c r="C126" s="85" t="s">
        <v>58</v>
      </c>
      <c r="D126" s="111"/>
      <c r="E126" s="111"/>
      <c r="F126" s="85">
        <v>800</v>
      </c>
      <c r="G126" s="85">
        <v>13</v>
      </c>
      <c r="H126" s="85">
        <v>43</v>
      </c>
      <c r="I126" s="85">
        <v>17.2</v>
      </c>
      <c r="J126" s="85">
        <v>29.6</v>
      </c>
      <c r="K126" s="85">
        <v>27.4</v>
      </c>
      <c r="L126" s="85">
        <v>41</v>
      </c>
      <c r="M126" s="85">
        <v>16.399999999999999</v>
      </c>
      <c r="N126" s="85">
        <v>62.4</v>
      </c>
      <c r="O126" s="85">
        <f t="shared" si="0"/>
        <v>84</v>
      </c>
      <c r="P126" s="50">
        <f t="shared" si="12"/>
        <v>0</v>
      </c>
      <c r="Q126" s="70">
        <f t="shared" si="13"/>
        <v>0</v>
      </c>
      <c r="R126" s="70">
        <f t="shared" si="14"/>
        <v>0</v>
      </c>
      <c r="S126" s="70">
        <f t="shared" si="15"/>
        <v>0</v>
      </c>
      <c r="T126" s="70">
        <f t="shared" si="16"/>
        <v>0</v>
      </c>
      <c r="U126" s="70">
        <f t="shared" si="17"/>
        <v>0</v>
      </c>
      <c r="V126" s="70">
        <f t="shared" si="18"/>
        <v>0</v>
      </c>
      <c r="W126" s="70">
        <f t="shared" si="19"/>
        <v>0</v>
      </c>
      <c r="X126" s="85"/>
      <c r="Y126" s="85">
        <v>1</v>
      </c>
      <c r="Z126" s="85">
        <v>1</v>
      </c>
      <c r="AA126" s="86">
        <f t="shared" si="20"/>
        <v>0</v>
      </c>
      <c r="AB126" s="86">
        <f t="shared" si="21"/>
        <v>0</v>
      </c>
      <c r="AC126" s="76"/>
      <c r="AD126" s="76"/>
      <c r="AE126" s="76"/>
      <c r="AF126" s="76"/>
      <c r="AG126" s="76"/>
      <c r="AH126" s="76"/>
    </row>
    <row r="127" spans="1:34" s="11" customFormat="1" ht="21" x14ac:dyDescent="0.25">
      <c r="A127" s="85" t="s">
        <v>238</v>
      </c>
      <c r="B127" s="85" t="s">
        <v>62</v>
      </c>
      <c r="C127" s="85" t="s">
        <v>58</v>
      </c>
      <c r="D127" s="111"/>
      <c r="E127" s="111"/>
      <c r="F127" s="85">
        <v>800</v>
      </c>
      <c r="G127" s="85">
        <v>13</v>
      </c>
      <c r="H127" s="85">
        <v>43</v>
      </c>
      <c r="I127" s="85">
        <v>17.2</v>
      </c>
      <c r="J127" s="85">
        <v>29.6</v>
      </c>
      <c r="K127" s="85">
        <v>27.4</v>
      </c>
      <c r="L127" s="85">
        <v>41</v>
      </c>
      <c r="M127" s="85">
        <v>16.399999999999999</v>
      </c>
      <c r="N127" s="85">
        <v>62.4</v>
      </c>
      <c r="O127" s="85">
        <f t="shared" si="0"/>
        <v>84</v>
      </c>
      <c r="P127" s="50">
        <f t="shared" si="12"/>
        <v>0</v>
      </c>
      <c r="Q127" s="70">
        <f t="shared" si="13"/>
        <v>0</v>
      </c>
      <c r="R127" s="70">
        <f t="shared" si="14"/>
        <v>0</v>
      </c>
      <c r="S127" s="70">
        <f t="shared" si="15"/>
        <v>0</v>
      </c>
      <c r="T127" s="70">
        <f t="shared" si="16"/>
        <v>0</v>
      </c>
      <c r="U127" s="70">
        <f t="shared" si="17"/>
        <v>0</v>
      </c>
      <c r="V127" s="70">
        <f t="shared" si="18"/>
        <v>0</v>
      </c>
      <c r="W127" s="70">
        <f t="shared" si="19"/>
        <v>0</v>
      </c>
      <c r="X127" s="85"/>
      <c r="Y127" s="85">
        <v>1</v>
      </c>
      <c r="Z127" s="85">
        <v>1</v>
      </c>
      <c r="AA127" s="86">
        <f t="shared" si="20"/>
        <v>0</v>
      </c>
      <c r="AB127" s="86">
        <f t="shared" si="21"/>
        <v>0</v>
      </c>
      <c r="AC127" s="76"/>
      <c r="AD127" s="76"/>
      <c r="AE127" s="76"/>
      <c r="AF127" s="76"/>
      <c r="AG127" s="76"/>
      <c r="AH127" s="76"/>
    </row>
    <row r="128" spans="1:34" s="11" customFormat="1" ht="21" x14ac:dyDescent="0.25">
      <c r="A128" s="85" t="s">
        <v>257</v>
      </c>
      <c r="B128" s="85" t="s">
        <v>142</v>
      </c>
      <c r="C128" s="85" t="s">
        <v>56</v>
      </c>
      <c r="D128" s="111"/>
      <c r="E128" s="111"/>
      <c r="F128" s="85">
        <v>800</v>
      </c>
      <c r="G128" s="85">
        <v>3.2</v>
      </c>
      <c r="H128" s="85">
        <v>26</v>
      </c>
      <c r="I128" s="85">
        <v>10.4</v>
      </c>
      <c r="J128" s="85">
        <v>18.2</v>
      </c>
      <c r="K128" s="85">
        <v>23.5</v>
      </c>
      <c r="L128" s="85">
        <v>94</v>
      </c>
      <c r="M128" s="85">
        <v>37.6</v>
      </c>
      <c r="N128" s="85">
        <v>108.8</v>
      </c>
      <c r="O128" s="85">
        <f t="shared" si="0"/>
        <v>120</v>
      </c>
      <c r="P128" s="50">
        <f t="shared" si="12"/>
        <v>0</v>
      </c>
      <c r="Q128" s="70">
        <f t="shared" si="13"/>
        <v>0</v>
      </c>
      <c r="R128" s="70">
        <f t="shared" si="14"/>
        <v>0</v>
      </c>
      <c r="S128" s="70">
        <f t="shared" si="15"/>
        <v>0</v>
      </c>
      <c r="T128" s="70">
        <f t="shared" si="16"/>
        <v>0</v>
      </c>
      <c r="U128" s="70">
        <f t="shared" si="17"/>
        <v>0</v>
      </c>
      <c r="V128" s="70">
        <f t="shared" si="18"/>
        <v>0</v>
      </c>
      <c r="W128" s="70">
        <f t="shared" si="19"/>
        <v>0</v>
      </c>
      <c r="X128" s="85"/>
      <c r="Y128" s="85">
        <v>1</v>
      </c>
      <c r="Z128" s="85">
        <v>1</v>
      </c>
      <c r="AA128" s="86">
        <f t="shared" si="20"/>
        <v>0</v>
      </c>
      <c r="AB128" s="86">
        <f t="shared" si="21"/>
        <v>0</v>
      </c>
      <c r="AC128" s="76"/>
      <c r="AD128" s="76"/>
      <c r="AE128" s="76"/>
      <c r="AF128" s="76"/>
      <c r="AG128" s="76"/>
      <c r="AH128" s="76"/>
    </row>
    <row r="129" spans="1:34" s="11" customFormat="1" ht="21" x14ac:dyDescent="0.25">
      <c r="A129" s="85" t="s">
        <v>257</v>
      </c>
      <c r="B129" s="85" t="s">
        <v>142</v>
      </c>
      <c r="C129" s="85" t="s">
        <v>127</v>
      </c>
      <c r="D129" s="111"/>
      <c r="E129" s="111"/>
      <c r="F129" s="85">
        <v>800</v>
      </c>
      <c r="G129" s="85"/>
      <c r="H129" s="85"/>
      <c r="I129" s="85"/>
      <c r="J129" s="85"/>
      <c r="K129" s="85">
        <v>26.7</v>
      </c>
      <c r="L129" s="85">
        <v>120</v>
      </c>
      <c r="M129" s="85">
        <v>48</v>
      </c>
      <c r="N129" s="85">
        <v>127</v>
      </c>
      <c r="O129" s="85">
        <f t="shared" si="0"/>
        <v>120</v>
      </c>
      <c r="P129" s="50">
        <f t="shared" si="12"/>
        <v>0</v>
      </c>
      <c r="Q129" s="70">
        <f t="shared" si="13"/>
        <v>0</v>
      </c>
      <c r="R129" s="70">
        <f t="shared" si="14"/>
        <v>0</v>
      </c>
      <c r="S129" s="70">
        <f t="shared" si="15"/>
        <v>0</v>
      </c>
      <c r="T129" s="70">
        <f t="shared" si="16"/>
        <v>0</v>
      </c>
      <c r="U129" s="70">
        <f t="shared" si="17"/>
        <v>0</v>
      </c>
      <c r="V129" s="70">
        <f t="shared" si="18"/>
        <v>0</v>
      </c>
      <c r="W129" s="70">
        <f t="shared" si="19"/>
        <v>0</v>
      </c>
      <c r="X129" s="85"/>
      <c r="Y129" s="85">
        <v>1</v>
      </c>
      <c r="Z129" s="85">
        <v>1</v>
      </c>
      <c r="AA129" s="86">
        <f t="shared" si="20"/>
        <v>0</v>
      </c>
      <c r="AB129" s="86">
        <f t="shared" si="21"/>
        <v>0</v>
      </c>
      <c r="AC129" s="76"/>
      <c r="AD129" s="76"/>
      <c r="AE129" s="76"/>
      <c r="AF129" s="76"/>
      <c r="AG129" s="76"/>
      <c r="AH129" s="76"/>
    </row>
    <row r="130" spans="1:34" s="11" customFormat="1" ht="21" x14ac:dyDescent="0.25">
      <c r="A130" s="85" t="s">
        <v>257</v>
      </c>
      <c r="B130" s="85" t="s">
        <v>142</v>
      </c>
      <c r="C130" s="85" t="s">
        <v>59</v>
      </c>
      <c r="D130" s="111"/>
      <c r="E130" s="111"/>
      <c r="F130" s="85">
        <v>800</v>
      </c>
      <c r="G130" s="85">
        <v>2.8</v>
      </c>
      <c r="H130" s="85">
        <v>17</v>
      </c>
      <c r="I130" s="85">
        <v>6.8</v>
      </c>
      <c r="J130" s="85">
        <v>14.7</v>
      </c>
      <c r="K130" s="85">
        <v>24</v>
      </c>
      <c r="L130" s="85">
        <v>103</v>
      </c>
      <c r="M130" s="85">
        <v>41.2</v>
      </c>
      <c r="N130" s="85">
        <v>112.3</v>
      </c>
      <c r="O130" s="85">
        <f t="shared" si="0"/>
        <v>120</v>
      </c>
      <c r="P130" s="50">
        <f t="shared" si="12"/>
        <v>0</v>
      </c>
      <c r="Q130" s="70">
        <f t="shared" si="13"/>
        <v>0</v>
      </c>
      <c r="R130" s="70">
        <f t="shared" si="14"/>
        <v>0</v>
      </c>
      <c r="S130" s="70">
        <f t="shared" si="15"/>
        <v>0</v>
      </c>
      <c r="T130" s="70">
        <f t="shared" si="16"/>
        <v>0</v>
      </c>
      <c r="U130" s="70">
        <f t="shared" si="17"/>
        <v>0</v>
      </c>
      <c r="V130" s="70">
        <f t="shared" si="18"/>
        <v>0</v>
      </c>
      <c r="W130" s="70">
        <f t="shared" si="19"/>
        <v>0</v>
      </c>
      <c r="X130" s="85"/>
      <c r="Y130" s="85">
        <v>1</v>
      </c>
      <c r="Z130" s="85">
        <v>1</v>
      </c>
      <c r="AA130" s="86">
        <f t="shared" si="20"/>
        <v>0</v>
      </c>
      <c r="AB130" s="86">
        <f t="shared" si="21"/>
        <v>0</v>
      </c>
      <c r="AC130" s="76"/>
      <c r="AD130" s="76"/>
      <c r="AE130" s="76"/>
      <c r="AF130" s="76"/>
      <c r="AG130" s="76"/>
      <c r="AH130" s="76"/>
    </row>
    <row r="131" spans="1:34" s="11" customFormat="1" ht="21" x14ac:dyDescent="0.25">
      <c r="A131" s="85" t="s">
        <v>257</v>
      </c>
      <c r="B131" s="85" t="s">
        <v>142</v>
      </c>
      <c r="C131" s="85" t="s">
        <v>128</v>
      </c>
      <c r="D131" s="111"/>
      <c r="E131" s="111"/>
      <c r="F131" s="85">
        <v>800</v>
      </c>
      <c r="G131" s="85"/>
      <c r="H131" s="85"/>
      <c r="I131" s="85"/>
      <c r="J131" s="85"/>
      <c r="K131" s="85">
        <v>26.8</v>
      </c>
      <c r="L131" s="85">
        <v>120</v>
      </c>
      <c r="M131" s="85">
        <v>48</v>
      </c>
      <c r="N131" s="85">
        <v>127</v>
      </c>
      <c r="O131" s="85">
        <f t="shared" si="0"/>
        <v>120</v>
      </c>
      <c r="P131" s="50">
        <f t="shared" si="12"/>
        <v>0</v>
      </c>
      <c r="Q131" s="70">
        <f t="shared" si="13"/>
        <v>0</v>
      </c>
      <c r="R131" s="70">
        <f t="shared" si="14"/>
        <v>0</v>
      </c>
      <c r="S131" s="70">
        <f t="shared" si="15"/>
        <v>0</v>
      </c>
      <c r="T131" s="70">
        <f t="shared" si="16"/>
        <v>0</v>
      </c>
      <c r="U131" s="70">
        <f t="shared" si="17"/>
        <v>0</v>
      </c>
      <c r="V131" s="70">
        <f t="shared" si="18"/>
        <v>0</v>
      </c>
      <c r="W131" s="70">
        <f t="shared" si="19"/>
        <v>0</v>
      </c>
      <c r="X131" s="85"/>
      <c r="Y131" s="85">
        <v>1</v>
      </c>
      <c r="Z131" s="85">
        <v>1</v>
      </c>
      <c r="AA131" s="86">
        <f t="shared" si="20"/>
        <v>0</v>
      </c>
      <c r="AB131" s="86">
        <f t="shared" si="21"/>
        <v>0</v>
      </c>
      <c r="AC131" s="76"/>
      <c r="AD131" s="76"/>
      <c r="AE131" s="76"/>
      <c r="AF131" s="76"/>
      <c r="AG131" s="76"/>
      <c r="AH131" s="76"/>
    </row>
    <row r="132" spans="1:34" s="11" customFormat="1" ht="21" x14ac:dyDescent="0.25">
      <c r="A132" s="85" t="s">
        <v>257</v>
      </c>
      <c r="B132" s="85" t="s">
        <v>142</v>
      </c>
      <c r="C132" s="85" t="s">
        <v>46</v>
      </c>
      <c r="D132" s="111"/>
      <c r="E132" s="111"/>
      <c r="F132" s="85">
        <v>800</v>
      </c>
      <c r="G132" s="85">
        <v>16</v>
      </c>
      <c r="H132" s="85">
        <v>61</v>
      </c>
      <c r="I132" s="85">
        <v>24.4</v>
      </c>
      <c r="J132" s="85">
        <v>68</v>
      </c>
      <c r="K132" s="85">
        <v>13.9</v>
      </c>
      <c r="L132" s="85">
        <v>59</v>
      </c>
      <c r="M132" s="85">
        <v>23.6</v>
      </c>
      <c r="N132" s="85">
        <v>59</v>
      </c>
      <c r="O132" s="85">
        <f t="shared" si="0"/>
        <v>120</v>
      </c>
      <c r="P132" s="50">
        <f t="shared" si="12"/>
        <v>0</v>
      </c>
      <c r="Q132" s="70">
        <f t="shared" si="13"/>
        <v>0</v>
      </c>
      <c r="R132" s="70">
        <f t="shared" si="14"/>
        <v>0</v>
      </c>
      <c r="S132" s="70">
        <f t="shared" si="15"/>
        <v>0</v>
      </c>
      <c r="T132" s="70">
        <f t="shared" si="16"/>
        <v>0</v>
      </c>
      <c r="U132" s="70">
        <f t="shared" si="17"/>
        <v>0</v>
      </c>
      <c r="V132" s="70">
        <f t="shared" si="18"/>
        <v>0</v>
      </c>
      <c r="W132" s="70">
        <f t="shared" si="19"/>
        <v>0</v>
      </c>
      <c r="X132" s="85"/>
      <c r="Y132" s="85">
        <v>1</v>
      </c>
      <c r="Z132" s="85">
        <v>1</v>
      </c>
      <c r="AA132" s="86">
        <f t="shared" si="20"/>
        <v>0</v>
      </c>
      <c r="AB132" s="86">
        <f t="shared" si="21"/>
        <v>0</v>
      </c>
      <c r="AC132" s="76"/>
      <c r="AD132" s="76"/>
      <c r="AE132" s="76"/>
      <c r="AF132" s="76"/>
      <c r="AG132" s="76"/>
      <c r="AH132" s="76"/>
    </row>
    <row r="133" spans="1:34" s="11" customFormat="1" ht="21" x14ac:dyDescent="0.25">
      <c r="A133" s="85" t="s">
        <v>257</v>
      </c>
      <c r="B133" s="85" t="s">
        <v>142</v>
      </c>
      <c r="C133" s="85" t="s">
        <v>47</v>
      </c>
      <c r="D133" s="111"/>
      <c r="E133" s="111"/>
      <c r="F133" s="85">
        <v>800</v>
      </c>
      <c r="G133" s="85">
        <v>9</v>
      </c>
      <c r="H133" s="85">
        <v>59</v>
      </c>
      <c r="I133" s="85">
        <v>23.6</v>
      </c>
      <c r="J133" s="85">
        <v>37.5</v>
      </c>
      <c r="K133" s="85">
        <v>21.5</v>
      </c>
      <c r="L133" s="85">
        <v>61</v>
      </c>
      <c r="M133" s="85">
        <v>24.4</v>
      </c>
      <c r="N133" s="85">
        <v>89.5</v>
      </c>
      <c r="O133" s="85">
        <f t="shared" si="0"/>
        <v>120</v>
      </c>
      <c r="P133" s="50">
        <f t="shared" si="12"/>
        <v>0</v>
      </c>
      <c r="Q133" s="70">
        <f t="shared" si="13"/>
        <v>0</v>
      </c>
      <c r="R133" s="70">
        <f t="shared" si="14"/>
        <v>0</v>
      </c>
      <c r="S133" s="70">
        <f t="shared" si="15"/>
        <v>0</v>
      </c>
      <c r="T133" s="70">
        <f t="shared" si="16"/>
        <v>0</v>
      </c>
      <c r="U133" s="70">
        <f t="shared" si="17"/>
        <v>0</v>
      </c>
      <c r="V133" s="70">
        <f t="shared" si="18"/>
        <v>0</v>
      </c>
      <c r="W133" s="70">
        <f t="shared" si="19"/>
        <v>0</v>
      </c>
      <c r="X133" s="85"/>
      <c r="Y133" s="85">
        <v>1</v>
      </c>
      <c r="Z133" s="85">
        <v>1</v>
      </c>
      <c r="AA133" s="86">
        <f t="shared" si="20"/>
        <v>0</v>
      </c>
      <c r="AB133" s="86">
        <f t="shared" si="21"/>
        <v>0</v>
      </c>
      <c r="AC133" s="76"/>
      <c r="AD133" s="76"/>
      <c r="AE133" s="76"/>
      <c r="AF133" s="76"/>
      <c r="AG133" s="76"/>
      <c r="AH133" s="76"/>
    </row>
    <row r="134" spans="1:34" s="11" customFormat="1" ht="21" x14ac:dyDescent="0.25">
      <c r="A134" s="85" t="s">
        <v>257</v>
      </c>
      <c r="B134" s="85" t="s">
        <v>142</v>
      </c>
      <c r="C134" s="85" t="s">
        <v>45</v>
      </c>
      <c r="D134" s="111"/>
      <c r="E134" s="111"/>
      <c r="F134" s="85">
        <v>800</v>
      </c>
      <c r="G134" s="85">
        <v>26</v>
      </c>
      <c r="H134" s="85">
        <v>120</v>
      </c>
      <c r="I134" s="85">
        <v>48</v>
      </c>
      <c r="J134" s="85">
        <v>127</v>
      </c>
      <c r="K134" s="85"/>
      <c r="L134" s="85"/>
      <c r="M134" s="85"/>
      <c r="N134" s="85"/>
      <c r="O134" s="85">
        <f t="shared" si="0"/>
        <v>120</v>
      </c>
      <c r="P134" s="50">
        <f t="shared" si="12"/>
        <v>0</v>
      </c>
      <c r="Q134" s="70">
        <f t="shared" si="13"/>
        <v>0</v>
      </c>
      <c r="R134" s="70">
        <f t="shared" si="14"/>
        <v>0</v>
      </c>
      <c r="S134" s="70">
        <f t="shared" si="15"/>
        <v>0</v>
      </c>
      <c r="T134" s="70">
        <f t="shared" si="16"/>
        <v>0</v>
      </c>
      <c r="U134" s="70">
        <f t="shared" si="17"/>
        <v>0</v>
      </c>
      <c r="V134" s="70">
        <f t="shared" si="18"/>
        <v>0</v>
      </c>
      <c r="W134" s="70">
        <f t="shared" si="19"/>
        <v>0</v>
      </c>
      <c r="X134" s="85"/>
      <c r="Y134" s="85">
        <v>1</v>
      </c>
      <c r="Z134" s="85">
        <v>1</v>
      </c>
      <c r="AA134" s="86">
        <f t="shared" si="20"/>
        <v>0</v>
      </c>
      <c r="AB134" s="86">
        <f t="shared" si="21"/>
        <v>0</v>
      </c>
      <c r="AC134" s="76"/>
      <c r="AD134" s="76"/>
      <c r="AE134" s="76"/>
      <c r="AF134" s="76"/>
      <c r="AG134" s="76"/>
      <c r="AH134" s="76"/>
    </row>
    <row r="135" spans="1:34" s="11" customFormat="1" ht="21" x14ac:dyDescent="0.25">
      <c r="A135" s="85" t="s">
        <v>257</v>
      </c>
      <c r="B135" s="85" t="s">
        <v>142</v>
      </c>
      <c r="C135" s="85" t="s">
        <v>57</v>
      </c>
      <c r="D135" s="111"/>
      <c r="E135" s="111"/>
      <c r="F135" s="85">
        <v>800</v>
      </c>
      <c r="G135" s="85">
        <v>26</v>
      </c>
      <c r="H135" s="85">
        <v>120</v>
      </c>
      <c r="I135" s="85">
        <v>48</v>
      </c>
      <c r="J135" s="85">
        <v>127</v>
      </c>
      <c r="K135" s="85"/>
      <c r="L135" s="85"/>
      <c r="M135" s="85"/>
      <c r="N135" s="85"/>
      <c r="O135" s="85">
        <f t="shared" si="0"/>
        <v>120</v>
      </c>
      <c r="P135" s="50">
        <f t="shared" si="12"/>
        <v>0</v>
      </c>
      <c r="Q135" s="70">
        <f t="shared" si="13"/>
        <v>0</v>
      </c>
      <c r="R135" s="70">
        <f t="shared" si="14"/>
        <v>0</v>
      </c>
      <c r="S135" s="70">
        <f t="shared" si="15"/>
        <v>0</v>
      </c>
      <c r="T135" s="70">
        <f t="shared" si="16"/>
        <v>0</v>
      </c>
      <c r="U135" s="70">
        <f t="shared" si="17"/>
        <v>0</v>
      </c>
      <c r="V135" s="70">
        <f t="shared" si="18"/>
        <v>0</v>
      </c>
      <c r="W135" s="70">
        <f t="shared" si="19"/>
        <v>0</v>
      </c>
      <c r="X135" s="85"/>
      <c r="Y135" s="85">
        <v>1</v>
      </c>
      <c r="Z135" s="85">
        <v>1</v>
      </c>
      <c r="AA135" s="86">
        <f t="shared" si="20"/>
        <v>0</v>
      </c>
      <c r="AB135" s="86">
        <f t="shared" si="21"/>
        <v>0</v>
      </c>
      <c r="AC135" s="76"/>
      <c r="AD135" s="76"/>
      <c r="AE135" s="76"/>
      <c r="AF135" s="76"/>
      <c r="AG135" s="76"/>
      <c r="AH135" s="76"/>
    </row>
    <row r="136" spans="1:34" s="11" customFormat="1" ht="21" x14ac:dyDescent="0.25">
      <c r="A136" s="85" t="s">
        <v>257</v>
      </c>
      <c r="B136" s="85" t="s">
        <v>142</v>
      </c>
      <c r="C136" s="85" t="s">
        <v>49</v>
      </c>
      <c r="D136" s="111"/>
      <c r="E136" s="111"/>
      <c r="F136" s="85">
        <v>800</v>
      </c>
      <c r="G136" s="85">
        <v>2.8</v>
      </c>
      <c r="H136" s="85">
        <v>17</v>
      </c>
      <c r="I136" s="85">
        <v>6.8</v>
      </c>
      <c r="J136" s="85">
        <v>11.9</v>
      </c>
      <c r="K136" s="85">
        <v>24</v>
      </c>
      <c r="L136" s="85">
        <v>103</v>
      </c>
      <c r="M136" s="85">
        <v>41.2</v>
      </c>
      <c r="N136" s="85">
        <v>115.1</v>
      </c>
      <c r="O136" s="85">
        <f t="shared" si="0"/>
        <v>120</v>
      </c>
      <c r="P136" s="50">
        <f t="shared" si="12"/>
        <v>0</v>
      </c>
      <c r="Q136" s="70">
        <f t="shared" si="13"/>
        <v>0</v>
      </c>
      <c r="R136" s="70">
        <f t="shared" si="14"/>
        <v>0</v>
      </c>
      <c r="S136" s="70">
        <f t="shared" si="15"/>
        <v>0</v>
      </c>
      <c r="T136" s="70">
        <f t="shared" si="16"/>
        <v>0</v>
      </c>
      <c r="U136" s="70">
        <f t="shared" si="17"/>
        <v>0</v>
      </c>
      <c r="V136" s="70">
        <f t="shared" si="18"/>
        <v>0</v>
      </c>
      <c r="W136" s="70">
        <f t="shared" si="19"/>
        <v>0</v>
      </c>
      <c r="X136" s="85"/>
      <c r="Y136" s="85">
        <v>1</v>
      </c>
      <c r="Z136" s="85">
        <v>1</v>
      </c>
      <c r="AA136" s="86">
        <f t="shared" si="20"/>
        <v>0</v>
      </c>
      <c r="AB136" s="86">
        <f t="shared" si="21"/>
        <v>0</v>
      </c>
      <c r="AC136" s="76"/>
      <c r="AD136" s="76"/>
      <c r="AE136" s="76"/>
      <c r="AF136" s="76"/>
      <c r="AG136" s="76"/>
      <c r="AH136" s="76"/>
    </row>
    <row r="137" spans="1:34" s="11" customFormat="1" ht="21" x14ac:dyDescent="0.25">
      <c r="A137" s="85" t="s">
        <v>257</v>
      </c>
      <c r="B137" s="85" t="s">
        <v>142</v>
      </c>
      <c r="C137" s="85" t="s">
        <v>126</v>
      </c>
      <c r="D137" s="111"/>
      <c r="E137" s="111"/>
      <c r="F137" s="85">
        <v>800</v>
      </c>
      <c r="G137" s="85"/>
      <c r="H137" s="85"/>
      <c r="I137" s="85"/>
      <c r="J137" s="85"/>
      <c r="K137" s="85">
        <v>26.8</v>
      </c>
      <c r="L137" s="85">
        <v>120</v>
      </c>
      <c r="M137" s="85">
        <v>48</v>
      </c>
      <c r="N137" s="85">
        <v>127</v>
      </c>
      <c r="O137" s="85">
        <f>L137+H137</f>
        <v>120</v>
      </c>
      <c r="P137" s="50">
        <f>IF(E137="SI", D137*F137/1000*K137, 0)</f>
        <v>0</v>
      </c>
      <c r="Q137" s="70">
        <f>(D137*F137/1000*G137)+P137</f>
        <v>0</v>
      </c>
      <c r="R137" s="70">
        <f>(D137*F137/1000*K137)-P137</f>
        <v>0</v>
      </c>
      <c r="S137" s="70">
        <f>IF(P137=0,H137*D137*F137/1000,((H137*D137*F137/1000)+(L137*D137*F137/1000)))</f>
        <v>0</v>
      </c>
      <c r="T137" s="70">
        <f>IF(P137=0, L137*D137*F137/1000, 0)</f>
        <v>0</v>
      </c>
      <c r="U137" s="70">
        <f>D137*F137/1000</f>
        <v>0</v>
      </c>
      <c r="V137" s="70">
        <f>D137*F137*I137/1000+D137*F137/1000*M137</f>
        <v>0</v>
      </c>
      <c r="W137" s="70">
        <f>D137*F137*J137/1000+D137*F137/1000*N137</f>
        <v>0</v>
      </c>
      <c r="X137" s="85"/>
      <c r="Y137" s="85">
        <v>1</v>
      </c>
      <c r="Z137" s="85">
        <v>1</v>
      </c>
      <c r="AA137" s="86">
        <f>Y137*D137</f>
        <v>0</v>
      </c>
      <c r="AB137" s="86">
        <f>Z137*D137</f>
        <v>0</v>
      </c>
      <c r="AC137" s="76"/>
      <c r="AD137" s="76"/>
      <c r="AE137" s="76"/>
      <c r="AF137" s="76"/>
      <c r="AG137" s="76"/>
      <c r="AH137" s="76"/>
    </row>
    <row r="138" spans="1:34" s="11" customFormat="1" ht="21" x14ac:dyDescent="0.25">
      <c r="A138" s="85" t="s">
        <v>257</v>
      </c>
      <c r="B138" s="85" t="s">
        <v>142</v>
      </c>
      <c r="C138" s="85" t="s">
        <v>58</v>
      </c>
      <c r="D138" s="111"/>
      <c r="E138" s="111"/>
      <c r="F138" s="85">
        <v>800</v>
      </c>
      <c r="G138" s="85">
        <v>13</v>
      </c>
      <c r="H138" s="85">
        <v>61</v>
      </c>
      <c r="I138" s="85">
        <v>24.4</v>
      </c>
      <c r="J138" s="85">
        <v>40.9</v>
      </c>
      <c r="K138" s="85">
        <v>27.4</v>
      </c>
      <c r="L138" s="85">
        <v>59</v>
      </c>
      <c r="M138" s="85">
        <v>23.6</v>
      </c>
      <c r="N138" s="85">
        <v>86.1</v>
      </c>
      <c r="O138" s="85">
        <f>L138+H138</f>
        <v>120</v>
      </c>
      <c r="P138" s="50">
        <f>IF(E138="SI", D138*F138/1000*K138, 0)</f>
        <v>0</v>
      </c>
      <c r="Q138" s="70">
        <f>(D138*F138/1000*G138)+P138</f>
        <v>0</v>
      </c>
      <c r="R138" s="70">
        <f>(D138*F138/1000*K138)-P138</f>
        <v>0</v>
      </c>
      <c r="S138" s="70">
        <f>IF(P138=0,H138*D138*F138/1000,((H138*D138*F138/1000)+(L138*D138*F138/1000)))</f>
        <v>0</v>
      </c>
      <c r="T138" s="70">
        <f>IF(P138=0, L138*D138*F138/1000, 0)</f>
        <v>0</v>
      </c>
      <c r="U138" s="70">
        <f>D138*F138/1000</f>
        <v>0</v>
      </c>
      <c r="V138" s="70">
        <f>D138*F138*I138/1000+D138*F138/1000*M138</f>
        <v>0</v>
      </c>
      <c r="W138" s="70">
        <f>D138*F138*J138/1000+D138*F138/1000*N138</f>
        <v>0</v>
      </c>
      <c r="X138" s="85"/>
      <c r="Y138" s="85">
        <v>1</v>
      </c>
      <c r="Z138" s="85">
        <v>1</v>
      </c>
      <c r="AA138" s="90">
        <f>Y138*D138</f>
        <v>0</v>
      </c>
      <c r="AB138" s="86">
        <f>Z138*D138</f>
        <v>0</v>
      </c>
      <c r="AC138" s="76"/>
      <c r="AD138" s="76"/>
      <c r="AE138" s="76"/>
      <c r="AF138" s="76"/>
      <c r="AG138" s="76"/>
      <c r="AH138" s="76"/>
    </row>
    <row r="139" spans="1:34" customFormat="1" ht="24" customHeight="1" x14ac:dyDescent="0.25">
      <c r="A139" s="74" t="s">
        <v>264</v>
      </c>
      <c r="B139" s="88"/>
      <c r="C139" s="88"/>
      <c r="D139" s="134">
        <f>SUM(D8:D138)</f>
        <v>0</v>
      </c>
      <c r="E139" s="92"/>
      <c r="F139" s="3"/>
      <c r="G139" s="88"/>
      <c r="H139" s="88"/>
      <c r="I139" s="88"/>
      <c r="J139" s="88"/>
      <c r="K139" s="88"/>
      <c r="L139" s="88"/>
      <c r="M139" s="88"/>
      <c r="N139" s="88"/>
      <c r="O139" s="80"/>
      <c r="P139" s="113">
        <f t="shared" ref="P139:W139" si="22">SUM(P8:P138)</f>
        <v>0</v>
      </c>
      <c r="Q139" s="113">
        <f t="shared" si="22"/>
        <v>0</v>
      </c>
      <c r="R139" s="113">
        <f t="shared" si="22"/>
        <v>0</v>
      </c>
      <c r="S139" s="113">
        <f t="shared" si="22"/>
        <v>0</v>
      </c>
      <c r="T139" s="170">
        <f t="shared" si="22"/>
        <v>0</v>
      </c>
      <c r="U139" s="113">
        <f t="shared" si="22"/>
        <v>0</v>
      </c>
      <c r="V139" s="113">
        <f t="shared" si="22"/>
        <v>0</v>
      </c>
      <c r="W139" s="113">
        <f t="shared" si="22"/>
        <v>0</v>
      </c>
      <c r="X139" s="172"/>
      <c r="Y139" s="172"/>
      <c r="Z139" s="172"/>
      <c r="AA139" s="113">
        <f>SUM(AA8:AA138)</f>
        <v>0</v>
      </c>
      <c r="AB139" s="171">
        <f>SUM(AB8:AB138)</f>
        <v>0</v>
      </c>
    </row>
    <row r="142" spans="1:34" ht="62.25" customHeight="1" x14ac:dyDescent="0.25">
      <c r="A142" s="245" t="s">
        <v>227</v>
      </c>
      <c r="B142" s="593" t="s">
        <v>458</v>
      </c>
      <c r="C142" s="593"/>
      <c r="D142" s="244"/>
      <c r="E142" s="244"/>
      <c r="F142" s="243"/>
      <c r="G142" s="243"/>
      <c r="H142" s="243"/>
      <c r="I142" s="243"/>
    </row>
  </sheetData>
  <sheetProtection sheet="1"/>
  <mergeCells count="1">
    <mergeCell ref="B142:C142"/>
  </mergeCells>
  <phoneticPr fontId="7" type="noConversion"/>
  <pageMargins left="0.23622047244094491" right="0.15748031496062992" top="0.39370078740157483" bottom="0.47244094488188981" header="0.19685039370078741" footer="0.35433070866141736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6"/>
  <dimension ref="A1:AC53"/>
  <sheetViews>
    <sheetView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D9" sqref="D9"/>
    </sheetView>
  </sheetViews>
  <sheetFormatPr defaultRowHeight="15" x14ac:dyDescent="0.25"/>
  <cols>
    <col min="1" max="1" width="13.85546875" customWidth="1"/>
    <col min="2" max="2" width="14.85546875" customWidth="1"/>
    <col min="3" max="3" width="40.140625" style="10" customWidth="1"/>
    <col min="4" max="4" width="10.42578125" style="52" bestFit="1" customWidth="1"/>
    <col min="5" max="5" width="8.42578125" style="52" customWidth="1"/>
    <col min="6" max="6" width="9" customWidth="1"/>
    <col min="7" max="7" width="8.7109375" customWidth="1"/>
    <col min="8" max="8" width="8.28515625" hidden="1" customWidth="1"/>
    <col min="9" max="9" width="10.140625" hidden="1" customWidth="1"/>
    <col min="10" max="10" width="8.5703125" hidden="1" customWidth="1"/>
    <col min="11" max="11" width="8.5703125" style="10" hidden="1" customWidth="1"/>
    <col min="12" max="12" width="9" style="3" hidden="1" customWidth="1"/>
    <col min="13" max="13" width="10.140625" style="3" hidden="1" customWidth="1"/>
    <col min="14" max="15" width="8.5703125" style="3" hidden="1" customWidth="1"/>
    <col min="16" max="16" width="7.5703125" style="3" hidden="1" customWidth="1"/>
    <col min="17" max="17" width="8.42578125" style="3" bestFit="1" customWidth="1"/>
    <col min="18" max="18" width="9" style="3" customWidth="1"/>
    <col min="19" max="19" width="8.85546875" style="3" customWidth="1"/>
    <col min="20" max="20" width="9.85546875" style="3" customWidth="1"/>
    <col min="21" max="21" width="9.42578125" style="3" customWidth="1"/>
    <col min="22" max="22" width="10.42578125" style="3" customWidth="1"/>
    <col min="23" max="23" width="9.5703125" style="412" customWidth="1"/>
    <col min="24" max="24" width="9.140625" style="412" customWidth="1"/>
    <col min="25" max="25" width="8.42578125" customWidth="1"/>
    <col min="26" max="26" width="8.85546875" hidden="1" customWidth="1"/>
    <col min="27" max="27" width="5.85546875" style="49" hidden="1" customWidth="1"/>
    <col min="28" max="28" width="7.85546875" style="49" customWidth="1"/>
    <col min="29" max="29" width="7.42578125" style="49" bestFit="1" customWidth="1"/>
  </cols>
  <sheetData>
    <row r="1" spans="1:29" x14ac:dyDescent="0.25">
      <c r="A1" s="9" t="s">
        <v>210</v>
      </c>
      <c r="L1" s="6"/>
      <c r="M1" s="6"/>
      <c r="N1" s="6"/>
      <c r="O1" s="6"/>
      <c r="P1" s="5"/>
      <c r="Q1" s="5"/>
      <c r="R1" s="5"/>
      <c r="S1" s="5"/>
      <c r="T1" s="5"/>
      <c r="U1" s="5"/>
      <c r="V1" s="5"/>
    </row>
    <row r="2" spans="1:29" x14ac:dyDescent="0.25">
      <c r="A2" s="4" t="s">
        <v>146</v>
      </c>
      <c r="L2" s="6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9" x14ac:dyDescent="0.25">
      <c r="A3" s="4" t="s">
        <v>169</v>
      </c>
      <c r="L3" s="6"/>
      <c r="M3" s="6"/>
      <c r="N3" s="6"/>
      <c r="O3" s="6"/>
      <c r="P3" s="5"/>
      <c r="Q3" s="5"/>
      <c r="R3" s="5"/>
      <c r="S3" s="5"/>
      <c r="T3" s="5"/>
      <c r="U3" s="5"/>
      <c r="V3" s="5"/>
    </row>
    <row r="4" spans="1:29" x14ac:dyDescent="0.25">
      <c r="A4" s="4" t="s">
        <v>267</v>
      </c>
      <c r="L4" s="6"/>
      <c r="M4" s="6"/>
      <c r="N4" s="6"/>
      <c r="O4" s="6"/>
      <c r="P4" s="5"/>
      <c r="Q4" s="5"/>
      <c r="R4" s="5"/>
      <c r="S4" s="5"/>
      <c r="T4" s="5"/>
      <c r="U4" s="5"/>
      <c r="V4" s="5"/>
    </row>
    <row r="5" spans="1:29" x14ac:dyDescent="0.25">
      <c r="A5" s="15" t="s">
        <v>217</v>
      </c>
      <c r="L5" s="7"/>
      <c r="M5" s="7"/>
      <c r="N5" s="7"/>
      <c r="O5" s="7"/>
      <c r="P5" s="5"/>
      <c r="Q5" s="5"/>
      <c r="R5" s="5"/>
      <c r="S5" s="5"/>
      <c r="T5" s="5"/>
      <c r="U5" s="5"/>
      <c r="V5" s="5"/>
    </row>
    <row r="6" spans="1:29" x14ac:dyDescent="0.25">
      <c r="A6" s="190" t="s">
        <v>448</v>
      </c>
      <c r="L6" s="7"/>
      <c r="M6" s="7"/>
      <c r="N6" s="7"/>
      <c r="O6" s="7"/>
      <c r="P6" s="5"/>
      <c r="Q6" s="5"/>
      <c r="R6" s="5"/>
      <c r="S6" s="5"/>
      <c r="T6" s="5"/>
      <c r="U6" s="5"/>
      <c r="V6" s="5"/>
    </row>
    <row r="7" spans="1:29" x14ac:dyDescent="0.25">
      <c r="L7" s="7"/>
      <c r="M7" s="7"/>
      <c r="N7" s="7"/>
      <c r="O7" s="7"/>
      <c r="P7" s="5"/>
      <c r="Q7" s="5"/>
      <c r="R7" s="5"/>
      <c r="S7" s="5"/>
      <c r="T7" s="5"/>
      <c r="U7" s="5"/>
      <c r="V7" s="5"/>
    </row>
    <row r="8" spans="1:29" s="73" customFormat="1" ht="84" customHeight="1" x14ac:dyDescent="0.2">
      <c r="A8" s="1" t="s">
        <v>261</v>
      </c>
      <c r="B8" s="1" t="s">
        <v>263</v>
      </c>
      <c r="C8" s="1" t="s">
        <v>262</v>
      </c>
      <c r="D8" s="67" t="s">
        <v>143</v>
      </c>
      <c r="E8" s="67" t="s">
        <v>260</v>
      </c>
      <c r="F8" s="1" t="s">
        <v>304</v>
      </c>
      <c r="G8" s="67" t="s">
        <v>305</v>
      </c>
      <c r="H8" s="1" t="s">
        <v>297</v>
      </c>
      <c r="I8" s="1" t="s">
        <v>294</v>
      </c>
      <c r="J8" s="1" t="s">
        <v>295</v>
      </c>
      <c r="K8" s="1" t="s">
        <v>296</v>
      </c>
      <c r="L8" s="1" t="s">
        <v>298</v>
      </c>
      <c r="M8" s="1" t="s">
        <v>299</v>
      </c>
      <c r="N8" s="1" t="s">
        <v>300</v>
      </c>
      <c r="O8" s="1" t="s">
        <v>301</v>
      </c>
      <c r="P8" s="1" t="s">
        <v>302</v>
      </c>
      <c r="Q8" s="1" t="s">
        <v>165</v>
      </c>
      <c r="R8" s="68" t="s">
        <v>147</v>
      </c>
      <c r="S8" s="68" t="s">
        <v>148</v>
      </c>
      <c r="T8" s="68" t="s">
        <v>274</v>
      </c>
      <c r="U8" s="68" t="s">
        <v>275</v>
      </c>
      <c r="V8" s="68" t="s">
        <v>306</v>
      </c>
      <c r="W8" s="68" t="s">
        <v>421</v>
      </c>
      <c r="X8" s="68" t="s">
        <v>453</v>
      </c>
      <c r="Y8" s="68" t="s">
        <v>225</v>
      </c>
      <c r="Z8" s="68" t="s">
        <v>226</v>
      </c>
      <c r="AA8" s="68" t="s">
        <v>265</v>
      </c>
      <c r="AB8" s="68" t="s">
        <v>266</v>
      </c>
      <c r="AC8" s="68" t="s">
        <v>268</v>
      </c>
    </row>
    <row r="9" spans="1:29" s="71" customFormat="1" ht="11.25" x14ac:dyDescent="0.25">
      <c r="A9" s="96" t="s">
        <v>98</v>
      </c>
      <c r="B9" s="96" t="s">
        <v>98</v>
      </c>
      <c r="C9" s="96" t="s">
        <v>89</v>
      </c>
      <c r="D9" s="81"/>
      <c r="E9" s="81"/>
      <c r="F9" s="96">
        <v>0.6</v>
      </c>
      <c r="G9" s="82"/>
      <c r="H9" s="96"/>
      <c r="I9" s="96"/>
      <c r="J9" s="96"/>
      <c r="K9" s="96"/>
      <c r="L9" s="96">
        <v>12.8</v>
      </c>
      <c r="M9" s="96">
        <v>243.2</v>
      </c>
      <c r="N9" s="96">
        <v>320</v>
      </c>
      <c r="O9" s="96">
        <v>179</v>
      </c>
      <c r="P9" s="96">
        <f>M9+I9</f>
        <v>243.2</v>
      </c>
      <c r="Q9" s="50">
        <f>IF(E9="SI", D9*F9/1000*L9, 0)</f>
        <v>0</v>
      </c>
      <c r="R9" s="70">
        <f>(D9*F9/1000*H9)+Q9</f>
        <v>0</v>
      </c>
      <c r="S9" s="70">
        <f>(D9*F9/1000*L9)-Q9</f>
        <v>0</v>
      </c>
      <c r="T9" s="70">
        <f>IF(Q9=0,I9*D9*F9/1000,((I9*D9*F9/1000)+(M9*D9*F9/1000)))</f>
        <v>0</v>
      </c>
      <c r="U9" s="70">
        <f>IF(Q9=0, M9*D9*F9/1000, 0)</f>
        <v>0</v>
      </c>
      <c r="V9" s="70">
        <f>D9*F9/1000</f>
        <v>0</v>
      </c>
      <c r="W9" s="98">
        <f>IF(Q9=0,D9*F9/1000*J9+D9*F9/1000*N9,(J9*D9*F9/1000)+(N9*D9*F9/1000))</f>
        <v>0</v>
      </c>
      <c r="X9" s="98">
        <f>IF(Q9=0,D9*F9/1000*K9+D9*F9/1000*O9,(K9*D9*F9/1000)+(O9*D9*F9/1000))</f>
        <v>0</v>
      </c>
      <c r="Y9" s="96"/>
      <c r="Z9" s="96">
        <v>3.0000000000000001E-3</v>
      </c>
      <c r="AA9" s="98">
        <v>0</v>
      </c>
      <c r="AB9" s="86">
        <f>Z9*D9</f>
        <v>0</v>
      </c>
      <c r="AC9" s="86">
        <f>AA9*D9</f>
        <v>0</v>
      </c>
    </row>
    <row r="10" spans="1:29" s="71" customFormat="1" ht="11.25" x14ac:dyDescent="0.25">
      <c r="A10" s="96" t="s">
        <v>228</v>
      </c>
      <c r="B10" s="96" t="s">
        <v>228</v>
      </c>
      <c r="C10" s="96" t="s">
        <v>89</v>
      </c>
      <c r="D10" s="81"/>
      <c r="E10" s="81"/>
      <c r="F10" s="96">
        <v>0.6</v>
      </c>
      <c r="G10" s="82"/>
      <c r="H10" s="96"/>
      <c r="I10" s="96"/>
      <c r="J10" s="96"/>
      <c r="K10" s="96"/>
      <c r="L10" s="96">
        <v>12.8</v>
      </c>
      <c r="M10" s="96">
        <v>243.2</v>
      </c>
      <c r="N10" s="96">
        <v>320</v>
      </c>
      <c r="O10" s="96">
        <v>179</v>
      </c>
      <c r="P10" s="96">
        <f t="shared" ref="P10:P48" si="0">M10+I10</f>
        <v>243.2</v>
      </c>
      <c r="Q10" s="50">
        <f t="shared" ref="Q10:Q48" si="1">IF(E10="SI", D10*F10/1000*L10, 0)</f>
        <v>0</v>
      </c>
      <c r="R10" s="70">
        <f t="shared" ref="R10:R48" si="2">(D10*F10/1000*H10)+Q10</f>
        <v>0</v>
      </c>
      <c r="S10" s="70">
        <f t="shared" ref="S10:S48" si="3">(D10*F10/1000*L10)-Q10</f>
        <v>0</v>
      </c>
      <c r="T10" s="70">
        <f t="shared" ref="T10:T48" si="4">IF(Q10=0,I10*D10*F10/1000,((I10*D10*F10/1000)+(M10*D10*F10/1000)))</f>
        <v>0</v>
      </c>
      <c r="U10" s="70">
        <f t="shared" ref="U10:U48" si="5">IF(Q10=0, M10*D10*F10/1000, 0)</f>
        <v>0</v>
      </c>
      <c r="V10" s="70">
        <f t="shared" ref="V10:V48" si="6">D10*F10/1000</f>
        <v>0</v>
      </c>
      <c r="W10" s="98">
        <f t="shared" ref="W10:W48" si="7">IF(Q10=0,D10*F10/1000*J10+D10*F10/1000*N10,(J10*D10*F10/1000)+(N10*D10*F10/1000))</f>
        <v>0</v>
      </c>
      <c r="X10" s="98">
        <f t="shared" ref="X10:X48" si="8">IF(Q10=0,D10*F10/1000*K10+D10*F10/1000*O10,(K10*D10*F10/1000)+(O10*D10*F10/1000))</f>
        <v>0</v>
      </c>
      <c r="Y10" s="96"/>
      <c r="Z10" s="96">
        <v>3.0000000000000001E-3</v>
      </c>
      <c r="AA10" s="98">
        <v>0</v>
      </c>
      <c r="AB10" s="86">
        <f t="shared" ref="AB10:AB48" si="9">Z10*D10</f>
        <v>0</v>
      </c>
      <c r="AC10" s="86">
        <f t="shared" ref="AC10:AC48" si="10">AA10*D10</f>
        <v>0</v>
      </c>
    </row>
    <row r="11" spans="1:29" s="71" customFormat="1" ht="11.25" x14ac:dyDescent="0.25">
      <c r="A11" s="96" t="s">
        <v>95</v>
      </c>
      <c r="B11" s="96" t="s">
        <v>95</v>
      </c>
      <c r="C11" s="96" t="s">
        <v>89</v>
      </c>
      <c r="D11" s="81"/>
      <c r="E11" s="81"/>
      <c r="F11" s="96">
        <v>1.6</v>
      </c>
      <c r="G11" s="82"/>
      <c r="H11" s="96"/>
      <c r="I11" s="96"/>
      <c r="J11" s="96"/>
      <c r="K11" s="96"/>
      <c r="L11" s="96">
        <v>12.8</v>
      </c>
      <c r="M11" s="96">
        <v>243.2</v>
      </c>
      <c r="N11" s="96">
        <v>320</v>
      </c>
      <c r="O11" s="96">
        <v>179</v>
      </c>
      <c r="P11" s="96">
        <f t="shared" si="0"/>
        <v>243.2</v>
      </c>
      <c r="Q11" s="50">
        <f t="shared" si="1"/>
        <v>0</v>
      </c>
      <c r="R11" s="70">
        <f t="shared" si="2"/>
        <v>0</v>
      </c>
      <c r="S11" s="70">
        <f t="shared" si="3"/>
        <v>0</v>
      </c>
      <c r="T11" s="70">
        <f t="shared" si="4"/>
        <v>0</v>
      </c>
      <c r="U11" s="70">
        <f t="shared" si="5"/>
        <v>0</v>
      </c>
      <c r="V11" s="70">
        <f t="shared" si="6"/>
        <v>0</v>
      </c>
      <c r="W11" s="98">
        <f t="shared" si="7"/>
        <v>0</v>
      </c>
      <c r="X11" s="98">
        <f t="shared" si="8"/>
        <v>0</v>
      </c>
      <c r="Y11" s="96"/>
      <c r="Z11" s="96">
        <v>3.0000000000000001E-3</v>
      </c>
      <c r="AA11" s="98">
        <v>0</v>
      </c>
      <c r="AB11" s="86">
        <f t="shared" si="9"/>
        <v>0</v>
      </c>
      <c r="AC11" s="86">
        <f t="shared" si="10"/>
        <v>0</v>
      </c>
    </row>
    <row r="12" spans="1:29" s="71" customFormat="1" ht="11.25" x14ac:dyDescent="0.25">
      <c r="A12" s="96" t="s">
        <v>88</v>
      </c>
      <c r="B12" s="96" t="s">
        <v>88</v>
      </c>
      <c r="C12" s="96" t="s">
        <v>89</v>
      </c>
      <c r="D12" s="81"/>
      <c r="E12" s="81"/>
      <c r="F12" s="96">
        <v>0.8</v>
      </c>
      <c r="G12" s="82"/>
      <c r="H12" s="96">
        <v>0.8</v>
      </c>
      <c r="I12" s="96">
        <v>2.8</v>
      </c>
      <c r="J12" s="96"/>
      <c r="K12" s="96"/>
      <c r="L12" s="96">
        <v>13</v>
      </c>
      <c r="M12" s="96">
        <v>237.2</v>
      </c>
      <c r="N12" s="96">
        <v>319</v>
      </c>
      <c r="O12" s="96">
        <v>179</v>
      </c>
      <c r="P12" s="96">
        <f t="shared" si="0"/>
        <v>240</v>
      </c>
      <c r="Q12" s="50">
        <f t="shared" si="1"/>
        <v>0</v>
      </c>
      <c r="R12" s="70">
        <f t="shared" si="2"/>
        <v>0</v>
      </c>
      <c r="S12" s="70">
        <f t="shared" si="3"/>
        <v>0</v>
      </c>
      <c r="T12" s="70">
        <f t="shared" si="4"/>
        <v>0</v>
      </c>
      <c r="U12" s="70">
        <f t="shared" si="5"/>
        <v>0</v>
      </c>
      <c r="V12" s="70">
        <f t="shared" si="6"/>
        <v>0</v>
      </c>
      <c r="W12" s="98">
        <f t="shared" si="7"/>
        <v>0</v>
      </c>
      <c r="X12" s="98">
        <f t="shared" si="8"/>
        <v>0</v>
      </c>
      <c r="Y12" s="96"/>
      <c r="Z12" s="96">
        <v>3.0000000000000001E-3</v>
      </c>
      <c r="AA12" s="98">
        <v>0</v>
      </c>
      <c r="AB12" s="86">
        <f t="shared" si="9"/>
        <v>0</v>
      </c>
      <c r="AC12" s="86">
        <f t="shared" si="10"/>
        <v>0</v>
      </c>
    </row>
    <row r="13" spans="1:29" s="71" customFormat="1" ht="11.25" x14ac:dyDescent="0.25">
      <c r="A13" s="96" t="s">
        <v>88</v>
      </c>
      <c r="B13" s="96" t="s">
        <v>88</v>
      </c>
      <c r="C13" s="96" t="s">
        <v>138</v>
      </c>
      <c r="D13" s="81"/>
      <c r="E13" s="81"/>
      <c r="F13" s="96">
        <v>0.8</v>
      </c>
      <c r="G13" s="82"/>
      <c r="H13" s="96"/>
      <c r="I13" s="96"/>
      <c r="J13" s="96"/>
      <c r="K13" s="96"/>
      <c r="L13" s="96">
        <v>13.8</v>
      </c>
      <c r="M13" s="96">
        <v>240</v>
      </c>
      <c r="N13" s="96">
        <v>319</v>
      </c>
      <c r="O13" s="96">
        <v>179</v>
      </c>
      <c r="P13" s="96">
        <f t="shared" si="0"/>
        <v>240</v>
      </c>
      <c r="Q13" s="50">
        <f t="shared" si="1"/>
        <v>0</v>
      </c>
      <c r="R13" s="70">
        <f t="shared" si="2"/>
        <v>0</v>
      </c>
      <c r="S13" s="70">
        <f t="shared" si="3"/>
        <v>0</v>
      </c>
      <c r="T13" s="70">
        <f t="shared" si="4"/>
        <v>0</v>
      </c>
      <c r="U13" s="70">
        <f t="shared" si="5"/>
        <v>0</v>
      </c>
      <c r="V13" s="70">
        <f t="shared" si="6"/>
        <v>0</v>
      </c>
      <c r="W13" s="98">
        <f t="shared" si="7"/>
        <v>0</v>
      </c>
      <c r="X13" s="98">
        <f t="shared" si="8"/>
        <v>0</v>
      </c>
      <c r="Y13" s="96"/>
      <c r="Z13" s="96">
        <v>3.0000000000000001E-3</v>
      </c>
      <c r="AA13" s="98">
        <v>0</v>
      </c>
      <c r="AB13" s="86">
        <f t="shared" si="9"/>
        <v>0</v>
      </c>
      <c r="AC13" s="86">
        <f t="shared" si="10"/>
        <v>0</v>
      </c>
    </row>
    <row r="14" spans="1:29" s="71" customFormat="1" ht="31.5" x14ac:dyDescent="0.25">
      <c r="A14" s="96" t="s">
        <v>73</v>
      </c>
      <c r="B14" s="96" t="s">
        <v>74</v>
      </c>
      <c r="C14" s="96" t="s">
        <v>78</v>
      </c>
      <c r="D14" s="81"/>
      <c r="E14" s="81"/>
      <c r="F14" s="96">
        <v>1.8</v>
      </c>
      <c r="G14" s="82"/>
      <c r="H14" s="96">
        <v>0.15</v>
      </c>
      <c r="I14" s="96">
        <v>0.2</v>
      </c>
      <c r="J14" s="96"/>
      <c r="K14" s="96"/>
      <c r="L14" s="96">
        <v>18</v>
      </c>
      <c r="M14" s="96">
        <v>229.8</v>
      </c>
      <c r="N14" s="96">
        <v>238.5</v>
      </c>
      <c r="O14" s="96">
        <v>131.4</v>
      </c>
      <c r="P14" s="96">
        <f t="shared" si="0"/>
        <v>230</v>
      </c>
      <c r="Q14" s="50">
        <f t="shared" si="1"/>
        <v>0</v>
      </c>
      <c r="R14" s="70">
        <f t="shared" si="2"/>
        <v>0</v>
      </c>
      <c r="S14" s="70">
        <f t="shared" si="3"/>
        <v>0</v>
      </c>
      <c r="T14" s="70">
        <f t="shared" si="4"/>
        <v>0</v>
      </c>
      <c r="U14" s="70">
        <f t="shared" si="5"/>
        <v>0</v>
      </c>
      <c r="V14" s="70">
        <f t="shared" si="6"/>
        <v>0</v>
      </c>
      <c r="W14" s="98">
        <f t="shared" si="7"/>
        <v>0</v>
      </c>
      <c r="X14" s="98">
        <f t="shared" si="8"/>
        <v>0</v>
      </c>
      <c r="Y14" s="96"/>
      <c r="Z14" s="96">
        <v>1.4E-2</v>
      </c>
      <c r="AA14" s="98">
        <v>0</v>
      </c>
      <c r="AB14" s="86">
        <f t="shared" si="9"/>
        <v>0</v>
      </c>
      <c r="AC14" s="86">
        <f t="shared" si="10"/>
        <v>0</v>
      </c>
    </row>
    <row r="15" spans="1:29" s="71" customFormat="1" ht="31.5" x14ac:dyDescent="0.25">
      <c r="A15" s="96" t="s">
        <v>73</v>
      </c>
      <c r="B15" s="96" t="s">
        <v>74</v>
      </c>
      <c r="C15" s="96" t="s">
        <v>134</v>
      </c>
      <c r="D15" s="81"/>
      <c r="E15" s="81"/>
      <c r="F15" s="96">
        <v>1.8</v>
      </c>
      <c r="G15" s="82"/>
      <c r="H15" s="96"/>
      <c r="I15" s="96"/>
      <c r="J15" s="96"/>
      <c r="K15" s="96"/>
      <c r="L15" s="96">
        <v>18.149999999999999</v>
      </c>
      <c r="M15" s="96">
        <v>230</v>
      </c>
      <c r="N15" s="96">
        <v>238.5</v>
      </c>
      <c r="O15" s="96">
        <v>131.4</v>
      </c>
      <c r="P15" s="96">
        <f t="shared" si="0"/>
        <v>230</v>
      </c>
      <c r="Q15" s="50">
        <f t="shared" si="1"/>
        <v>0</v>
      </c>
      <c r="R15" s="70">
        <f t="shared" si="2"/>
        <v>0</v>
      </c>
      <c r="S15" s="70">
        <f t="shared" si="3"/>
        <v>0</v>
      </c>
      <c r="T15" s="70">
        <f t="shared" si="4"/>
        <v>0</v>
      </c>
      <c r="U15" s="70">
        <f t="shared" si="5"/>
        <v>0</v>
      </c>
      <c r="V15" s="70">
        <f t="shared" si="6"/>
        <v>0</v>
      </c>
      <c r="W15" s="98">
        <f t="shared" si="7"/>
        <v>0</v>
      </c>
      <c r="X15" s="98">
        <f t="shared" si="8"/>
        <v>0</v>
      </c>
      <c r="Y15" s="96"/>
      <c r="Z15" s="96">
        <v>1.4E-2</v>
      </c>
      <c r="AA15" s="98">
        <v>0</v>
      </c>
      <c r="AB15" s="86">
        <f t="shared" si="9"/>
        <v>0</v>
      </c>
      <c r="AC15" s="86">
        <f t="shared" si="10"/>
        <v>0</v>
      </c>
    </row>
    <row r="16" spans="1:29" s="71" customFormat="1" ht="31.5" x14ac:dyDescent="0.25">
      <c r="A16" s="96" t="s">
        <v>73</v>
      </c>
      <c r="B16" s="96" t="s">
        <v>74</v>
      </c>
      <c r="C16" s="96" t="s">
        <v>76</v>
      </c>
      <c r="D16" s="81"/>
      <c r="E16" s="81"/>
      <c r="F16" s="96">
        <v>1.8</v>
      </c>
      <c r="G16" s="82"/>
      <c r="H16" s="96">
        <v>0.1</v>
      </c>
      <c r="I16" s="96">
        <v>0.2</v>
      </c>
      <c r="J16" s="96"/>
      <c r="K16" s="96"/>
      <c r="L16" s="96">
        <v>17</v>
      </c>
      <c r="M16" s="96">
        <v>229.8</v>
      </c>
      <c r="N16" s="96">
        <v>238.5</v>
      </c>
      <c r="O16" s="96">
        <v>131.4</v>
      </c>
      <c r="P16" s="96">
        <f t="shared" si="0"/>
        <v>230</v>
      </c>
      <c r="Q16" s="50">
        <f t="shared" si="1"/>
        <v>0</v>
      </c>
      <c r="R16" s="70">
        <f t="shared" si="2"/>
        <v>0</v>
      </c>
      <c r="S16" s="70">
        <f t="shared" si="3"/>
        <v>0</v>
      </c>
      <c r="T16" s="70">
        <f t="shared" si="4"/>
        <v>0</v>
      </c>
      <c r="U16" s="70">
        <f t="shared" si="5"/>
        <v>0</v>
      </c>
      <c r="V16" s="70">
        <f t="shared" si="6"/>
        <v>0</v>
      </c>
      <c r="W16" s="98">
        <f t="shared" si="7"/>
        <v>0</v>
      </c>
      <c r="X16" s="98">
        <f t="shared" si="8"/>
        <v>0</v>
      </c>
      <c r="Y16" s="96"/>
      <c r="Z16" s="96">
        <v>1.4E-2</v>
      </c>
      <c r="AA16" s="98">
        <v>0</v>
      </c>
      <c r="AB16" s="86">
        <f t="shared" si="9"/>
        <v>0</v>
      </c>
      <c r="AC16" s="86">
        <f t="shared" si="10"/>
        <v>0</v>
      </c>
    </row>
    <row r="17" spans="1:29" s="71" customFormat="1" ht="31.5" x14ac:dyDescent="0.25">
      <c r="A17" s="96" t="s">
        <v>73</v>
      </c>
      <c r="B17" s="96" t="s">
        <v>74</v>
      </c>
      <c r="C17" s="96" t="s">
        <v>133</v>
      </c>
      <c r="D17" s="81"/>
      <c r="E17" s="81"/>
      <c r="F17" s="96">
        <v>1.8</v>
      </c>
      <c r="G17" s="82"/>
      <c r="H17" s="96"/>
      <c r="I17" s="96"/>
      <c r="J17" s="96"/>
      <c r="K17" s="96"/>
      <c r="L17" s="96">
        <v>17.100000000000001</v>
      </c>
      <c r="M17" s="96">
        <v>230</v>
      </c>
      <c r="N17" s="96">
        <v>238.5</v>
      </c>
      <c r="O17" s="96">
        <v>131.4</v>
      </c>
      <c r="P17" s="96">
        <f t="shared" si="0"/>
        <v>230</v>
      </c>
      <c r="Q17" s="50">
        <f t="shared" si="1"/>
        <v>0</v>
      </c>
      <c r="R17" s="70">
        <f t="shared" si="2"/>
        <v>0</v>
      </c>
      <c r="S17" s="70">
        <f t="shared" si="3"/>
        <v>0</v>
      </c>
      <c r="T17" s="70">
        <f t="shared" si="4"/>
        <v>0</v>
      </c>
      <c r="U17" s="70">
        <f t="shared" si="5"/>
        <v>0</v>
      </c>
      <c r="V17" s="70">
        <f t="shared" si="6"/>
        <v>0</v>
      </c>
      <c r="W17" s="98">
        <f t="shared" si="7"/>
        <v>0</v>
      </c>
      <c r="X17" s="98">
        <f t="shared" si="8"/>
        <v>0</v>
      </c>
      <c r="Y17" s="96"/>
      <c r="Z17" s="96">
        <v>1.4E-2</v>
      </c>
      <c r="AA17" s="98">
        <v>0</v>
      </c>
      <c r="AB17" s="86">
        <f t="shared" si="9"/>
        <v>0</v>
      </c>
      <c r="AC17" s="86">
        <f t="shared" si="10"/>
        <v>0</v>
      </c>
    </row>
    <row r="18" spans="1:29" s="71" customFormat="1" ht="21" x14ac:dyDescent="0.25">
      <c r="A18" s="96" t="s">
        <v>73</v>
      </c>
      <c r="B18" s="96" t="s">
        <v>74</v>
      </c>
      <c r="C18" s="96" t="s">
        <v>75</v>
      </c>
      <c r="D18" s="81"/>
      <c r="E18" s="81"/>
      <c r="F18" s="96">
        <v>1.8</v>
      </c>
      <c r="G18" s="82"/>
      <c r="H18" s="96">
        <v>0.05</v>
      </c>
      <c r="I18" s="96">
        <v>0.1</v>
      </c>
      <c r="J18" s="96"/>
      <c r="K18" s="96"/>
      <c r="L18" s="96">
        <v>19</v>
      </c>
      <c r="M18" s="96">
        <v>229.9</v>
      </c>
      <c r="N18" s="96">
        <v>238.5</v>
      </c>
      <c r="O18" s="96">
        <v>131.4</v>
      </c>
      <c r="P18" s="96">
        <f t="shared" si="0"/>
        <v>230</v>
      </c>
      <c r="Q18" s="50">
        <f t="shared" si="1"/>
        <v>0</v>
      </c>
      <c r="R18" s="70">
        <f t="shared" si="2"/>
        <v>0</v>
      </c>
      <c r="S18" s="70">
        <f t="shared" si="3"/>
        <v>0</v>
      </c>
      <c r="T18" s="70">
        <f t="shared" si="4"/>
        <v>0</v>
      </c>
      <c r="U18" s="70">
        <f t="shared" si="5"/>
        <v>0</v>
      </c>
      <c r="V18" s="70">
        <f t="shared" si="6"/>
        <v>0</v>
      </c>
      <c r="W18" s="98">
        <f t="shared" si="7"/>
        <v>0</v>
      </c>
      <c r="X18" s="98">
        <f t="shared" si="8"/>
        <v>0</v>
      </c>
      <c r="Y18" s="96"/>
      <c r="Z18" s="96">
        <v>1.4E-2</v>
      </c>
      <c r="AA18" s="98">
        <v>0</v>
      </c>
      <c r="AB18" s="86">
        <f t="shared" si="9"/>
        <v>0</v>
      </c>
      <c r="AC18" s="86">
        <f t="shared" si="10"/>
        <v>0</v>
      </c>
    </row>
    <row r="19" spans="1:29" s="71" customFormat="1" ht="31.5" x14ac:dyDescent="0.25">
      <c r="A19" s="96" t="s">
        <v>73</v>
      </c>
      <c r="B19" s="96" t="s">
        <v>74</v>
      </c>
      <c r="C19" s="96" t="s">
        <v>132</v>
      </c>
      <c r="D19" s="81"/>
      <c r="E19" s="81"/>
      <c r="F19" s="96">
        <v>1.8</v>
      </c>
      <c r="G19" s="82"/>
      <c r="H19" s="96"/>
      <c r="I19" s="96"/>
      <c r="J19" s="96"/>
      <c r="K19" s="96"/>
      <c r="L19" s="96">
        <v>19.05</v>
      </c>
      <c r="M19" s="96">
        <v>230</v>
      </c>
      <c r="N19" s="96">
        <v>238.5</v>
      </c>
      <c r="O19" s="96">
        <v>131.4</v>
      </c>
      <c r="P19" s="96">
        <f t="shared" si="0"/>
        <v>230</v>
      </c>
      <c r="Q19" s="50">
        <f t="shared" si="1"/>
        <v>0</v>
      </c>
      <c r="R19" s="70">
        <f t="shared" si="2"/>
        <v>0</v>
      </c>
      <c r="S19" s="70">
        <f t="shared" si="3"/>
        <v>0</v>
      </c>
      <c r="T19" s="70">
        <f t="shared" si="4"/>
        <v>0</v>
      </c>
      <c r="U19" s="70">
        <f t="shared" si="5"/>
        <v>0</v>
      </c>
      <c r="V19" s="70">
        <f t="shared" si="6"/>
        <v>0</v>
      </c>
      <c r="W19" s="98">
        <f t="shared" si="7"/>
        <v>0</v>
      </c>
      <c r="X19" s="98">
        <f t="shared" si="8"/>
        <v>0</v>
      </c>
      <c r="Y19" s="96"/>
      <c r="Z19" s="96">
        <v>1.4E-2</v>
      </c>
      <c r="AA19" s="98">
        <v>0</v>
      </c>
      <c r="AB19" s="86">
        <f t="shared" si="9"/>
        <v>0</v>
      </c>
      <c r="AC19" s="86">
        <f t="shared" si="10"/>
        <v>0</v>
      </c>
    </row>
    <row r="20" spans="1:29" s="71" customFormat="1" ht="21" x14ac:dyDescent="0.25">
      <c r="A20" s="96" t="s">
        <v>73</v>
      </c>
      <c r="B20" s="96" t="s">
        <v>74</v>
      </c>
      <c r="C20" s="96" t="s">
        <v>77</v>
      </c>
      <c r="D20" s="81"/>
      <c r="E20" s="81"/>
      <c r="F20" s="96">
        <v>1.8</v>
      </c>
      <c r="G20" s="82"/>
      <c r="H20" s="96">
        <v>22</v>
      </c>
      <c r="I20" s="96">
        <v>230</v>
      </c>
      <c r="J20" s="96">
        <v>238.5</v>
      </c>
      <c r="K20" s="96">
        <v>131.4</v>
      </c>
      <c r="L20" s="96"/>
      <c r="M20" s="96"/>
      <c r="N20" s="96"/>
      <c r="O20" s="96"/>
      <c r="P20" s="96">
        <f t="shared" si="0"/>
        <v>230</v>
      </c>
      <c r="Q20" s="50">
        <f t="shared" si="1"/>
        <v>0</v>
      </c>
      <c r="R20" s="70">
        <f>(D20*F20/1000*H20)+Q20</f>
        <v>0</v>
      </c>
      <c r="S20" s="70">
        <f t="shared" si="3"/>
        <v>0</v>
      </c>
      <c r="T20" s="70">
        <f t="shared" si="4"/>
        <v>0</v>
      </c>
      <c r="U20" s="70">
        <f t="shared" si="5"/>
        <v>0</v>
      </c>
      <c r="V20" s="70">
        <f t="shared" si="6"/>
        <v>0</v>
      </c>
      <c r="W20" s="98">
        <f t="shared" si="7"/>
        <v>0</v>
      </c>
      <c r="X20" s="98">
        <f t="shared" si="8"/>
        <v>0</v>
      </c>
      <c r="Y20" s="96"/>
      <c r="Z20" s="96">
        <v>1.4E-2</v>
      </c>
      <c r="AA20" s="98">
        <v>0</v>
      </c>
      <c r="AB20" s="86">
        <f t="shared" si="9"/>
        <v>0</v>
      </c>
      <c r="AC20" s="86">
        <f t="shared" si="10"/>
        <v>0</v>
      </c>
    </row>
    <row r="21" spans="1:29" s="71" customFormat="1" ht="11.25" x14ac:dyDescent="0.25">
      <c r="A21" s="97" t="s">
        <v>73</v>
      </c>
      <c r="B21" s="97" t="s">
        <v>74</v>
      </c>
      <c r="C21" s="97" t="s">
        <v>79</v>
      </c>
      <c r="D21" s="83"/>
      <c r="E21" s="83"/>
      <c r="F21" s="97">
        <v>1.8</v>
      </c>
      <c r="G21" s="84"/>
      <c r="H21" s="97"/>
      <c r="I21" s="97">
        <v>0</v>
      </c>
      <c r="J21" s="97"/>
      <c r="K21" s="97"/>
      <c r="L21" s="97"/>
      <c r="M21" s="97"/>
      <c r="N21" s="97"/>
      <c r="O21" s="97"/>
      <c r="P21" s="97">
        <f t="shared" si="0"/>
        <v>0</v>
      </c>
      <c r="Q21" s="2">
        <f t="shared" si="1"/>
        <v>0</v>
      </c>
      <c r="R21" s="72">
        <f>(D21*F21/1000*G21)+Q21</f>
        <v>0</v>
      </c>
      <c r="S21" s="72">
        <f t="shared" si="3"/>
        <v>0</v>
      </c>
      <c r="T21" s="72">
        <f t="shared" si="4"/>
        <v>0</v>
      </c>
      <c r="U21" s="72">
        <f t="shared" si="5"/>
        <v>0</v>
      </c>
      <c r="V21" s="72"/>
      <c r="W21" s="72">
        <f t="shared" si="7"/>
        <v>0</v>
      </c>
      <c r="X21" s="72">
        <f t="shared" si="8"/>
        <v>0</v>
      </c>
      <c r="Y21" s="97"/>
      <c r="Z21" s="97">
        <v>1.4E-2</v>
      </c>
      <c r="AA21" s="99">
        <v>0</v>
      </c>
      <c r="AB21" s="100"/>
      <c r="AC21" s="100"/>
    </row>
    <row r="22" spans="1:29" s="71" customFormat="1" ht="31.5" x14ac:dyDescent="0.25">
      <c r="A22" s="96" t="s">
        <v>73</v>
      </c>
      <c r="B22" s="96" t="s">
        <v>80</v>
      </c>
      <c r="C22" s="96" t="s">
        <v>78</v>
      </c>
      <c r="D22" s="81"/>
      <c r="E22" s="81"/>
      <c r="F22" s="96">
        <v>2</v>
      </c>
      <c r="G22" s="82"/>
      <c r="H22" s="96">
        <v>0.15</v>
      </c>
      <c r="I22" s="96">
        <v>1.9</v>
      </c>
      <c r="J22" s="96"/>
      <c r="K22" s="96"/>
      <c r="L22" s="96">
        <v>18</v>
      </c>
      <c r="M22" s="96">
        <v>228.1</v>
      </c>
      <c r="N22" s="96">
        <v>238.5</v>
      </c>
      <c r="O22" s="96">
        <v>131.4</v>
      </c>
      <c r="P22" s="96">
        <f t="shared" si="0"/>
        <v>230</v>
      </c>
      <c r="Q22" s="50">
        <f t="shared" si="1"/>
        <v>0</v>
      </c>
      <c r="R22" s="70">
        <f t="shared" si="2"/>
        <v>0</v>
      </c>
      <c r="S22" s="70">
        <f t="shared" si="3"/>
        <v>0</v>
      </c>
      <c r="T22" s="70">
        <f t="shared" si="4"/>
        <v>0</v>
      </c>
      <c r="U22" s="70">
        <f t="shared" si="5"/>
        <v>0</v>
      </c>
      <c r="V22" s="70">
        <f t="shared" si="6"/>
        <v>0</v>
      </c>
      <c r="W22" s="98">
        <f t="shared" si="7"/>
        <v>0</v>
      </c>
      <c r="X22" s="98">
        <f t="shared" si="8"/>
        <v>0</v>
      </c>
      <c r="Y22" s="96"/>
      <c r="Z22" s="96">
        <v>1.4E-2</v>
      </c>
      <c r="AA22" s="98">
        <v>0</v>
      </c>
      <c r="AB22" s="86">
        <f t="shared" si="9"/>
        <v>0</v>
      </c>
      <c r="AC22" s="86">
        <f t="shared" si="10"/>
        <v>0</v>
      </c>
    </row>
    <row r="23" spans="1:29" s="71" customFormat="1" ht="31.5" x14ac:dyDescent="0.25">
      <c r="A23" s="96" t="s">
        <v>73</v>
      </c>
      <c r="B23" s="96" t="s">
        <v>80</v>
      </c>
      <c r="C23" s="96" t="s">
        <v>134</v>
      </c>
      <c r="D23" s="81"/>
      <c r="E23" s="81"/>
      <c r="F23" s="96">
        <v>2</v>
      </c>
      <c r="G23" s="82"/>
      <c r="H23" s="96"/>
      <c r="I23" s="96"/>
      <c r="J23" s="96"/>
      <c r="K23" s="96"/>
      <c r="L23" s="96">
        <v>18.149999999999999</v>
      </c>
      <c r="M23" s="96">
        <v>230</v>
      </c>
      <c r="N23" s="96">
        <v>238.5</v>
      </c>
      <c r="O23" s="96">
        <v>131.4</v>
      </c>
      <c r="P23" s="96">
        <f t="shared" si="0"/>
        <v>230</v>
      </c>
      <c r="Q23" s="50">
        <f t="shared" si="1"/>
        <v>0</v>
      </c>
      <c r="R23" s="70">
        <f t="shared" si="2"/>
        <v>0</v>
      </c>
      <c r="S23" s="70">
        <f t="shared" si="3"/>
        <v>0</v>
      </c>
      <c r="T23" s="70">
        <f t="shared" si="4"/>
        <v>0</v>
      </c>
      <c r="U23" s="70">
        <f t="shared" si="5"/>
        <v>0</v>
      </c>
      <c r="V23" s="70">
        <f t="shared" si="6"/>
        <v>0</v>
      </c>
      <c r="W23" s="98">
        <f t="shared" si="7"/>
        <v>0</v>
      </c>
      <c r="X23" s="98">
        <f t="shared" si="8"/>
        <v>0</v>
      </c>
      <c r="Y23" s="96"/>
      <c r="Z23" s="96">
        <v>1.4E-2</v>
      </c>
      <c r="AA23" s="98">
        <v>0</v>
      </c>
      <c r="AB23" s="86">
        <f t="shared" si="9"/>
        <v>0</v>
      </c>
      <c r="AC23" s="86">
        <f t="shared" si="10"/>
        <v>0</v>
      </c>
    </row>
    <row r="24" spans="1:29" s="71" customFormat="1" ht="31.5" x14ac:dyDescent="0.25">
      <c r="A24" s="96" t="s">
        <v>73</v>
      </c>
      <c r="B24" s="96" t="s">
        <v>80</v>
      </c>
      <c r="C24" s="96" t="s">
        <v>76</v>
      </c>
      <c r="D24" s="81"/>
      <c r="E24" s="81"/>
      <c r="F24" s="96">
        <v>2</v>
      </c>
      <c r="G24" s="82"/>
      <c r="H24" s="96">
        <v>0.1</v>
      </c>
      <c r="I24" s="96">
        <v>1.35</v>
      </c>
      <c r="J24" s="96"/>
      <c r="K24" s="96"/>
      <c r="L24" s="96">
        <v>17</v>
      </c>
      <c r="M24" s="189">
        <v>228.65</v>
      </c>
      <c r="N24" s="96">
        <v>238.5</v>
      </c>
      <c r="O24" s="96">
        <v>131.4</v>
      </c>
      <c r="P24" s="96">
        <f t="shared" si="0"/>
        <v>230</v>
      </c>
      <c r="Q24" s="50">
        <f t="shared" si="1"/>
        <v>0</v>
      </c>
      <c r="R24" s="70">
        <f t="shared" si="2"/>
        <v>0</v>
      </c>
      <c r="S24" s="70">
        <f t="shared" si="3"/>
        <v>0</v>
      </c>
      <c r="T24" s="70">
        <f t="shared" si="4"/>
        <v>0</v>
      </c>
      <c r="U24" s="70">
        <f t="shared" si="5"/>
        <v>0</v>
      </c>
      <c r="V24" s="70">
        <f t="shared" si="6"/>
        <v>0</v>
      </c>
      <c r="W24" s="98">
        <f t="shared" si="7"/>
        <v>0</v>
      </c>
      <c r="X24" s="98">
        <f t="shared" si="8"/>
        <v>0</v>
      </c>
      <c r="Y24" s="96"/>
      <c r="Z24" s="96">
        <v>1.4E-2</v>
      </c>
      <c r="AA24" s="98">
        <v>0</v>
      </c>
      <c r="AB24" s="86">
        <f t="shared" si="9"/>
        <v>0</v>
      </c>
      <c r="AC24" s="86">
        <f t="shared" si="10"/>
        <v>0</v>
      </c>
    </row>
    <row r="25" spans="1:29" s="71" customFormat="1" ht="31.5" x14ac:dyDescent="0.25">
      <c r="A25" s="96" t="s">
        <v>73</v>
      </c>
      <c r="B25" s="96" t="s">
        <v>80</v>
      </c>
      <c r="C25" s="96" t="s">
        <v>133</v>
      </c>
      <c r="D25" s="81"/>
      <c r="E25" s="81"/>
      <c r="F25" s="96">
        <v>2</v>
      </c>
      <c r="G25" s="82"/>
      <c r="H25" s="96"/>
      <c r="I25" s="96"/>
      <c r="J25" s="96"/>
      <c r="K25" s="96"/>
      <c r="L25" s="96">
        <v>17.100000000000001</v>
      </c>
      <c r="M25" s="96">
        <v>230</v>
      </c>
      <c r="N25" s="96">
        <v>238.5</v>
      </c>
      <c r="O25" s="96">
        <v>131.4</v>
      </c>
      <c r="P25" s="96">
        <f t="shared" si="0"/>
        <v>230</v>
      </c>
      <c r="Q25" s="50">
        <f t="shared" si="1"/>
        <v>0</v>
      </c>
      <c r="R25" s="70">
        <f t="shared" si="2"/>
        <v>0</v>
      </c>
      <c r="S25" s="70">
        <f t="shared" si="3"/>
        <v>0</v>
      </c>
      <c r="T25" s="70">
        <f t="shared" si="4"/>
        <v>0</v>
      </c>
      <c r="U25" s="70">
        <f t="shared" si="5"/>
        <v>0</v>
      </c>
      <c r="V25" s="70">
        <f t="shared" si="6"/>
        <v>0</v>
      </c>
      <c r="W25" s="98">
        <f t="shared" si="7"/>
        <v>0</v>
      </c>
      <c r="X25" s="98">
        <f t="shared" si="8"/>
        <v>0</v>
      </c>
      <c r="Y25" s="96"/>
      <c r="Z25" s="96">
        <v>1.4E-2</v>
      </c>
      <c r="AA25" s="98">
        <v>0</v>
      </c>
      <c r="AB25" s="86">
        <f t="shared" si="9"/>
        <v>0</v>
      </c>
      <c r="AC25" s="86">
        <f t="shared" si="10"/>
        <v>0</v>
      </c>
    </row>
    <row r="26" spans="1:29" s="71" customFormat="1" ht="21" x14ac:dyDescent="0.25">
      <c r="A26" s="96" t="s">
        <v>73</v>
      </c>
      <c r="B26" s="96" t="s">
        <v>80</v>
      </c>
      <c r="C26" s="96" t="s">
        <v>75</v>
      </c>
      <c r="D26" s="81"/>
      <c r="E26" s="81"/>
      <c r="F26" s="96">
        <v>2</v>
      </c>
      <c r="G26" s="82"/>
      <c r="H26" s="96">
        <v>0.05</v>
      </c>
      <c r="I26" s="96">
        <v>0.6</v>
      </c>
      <c r="J26" s="96"/>
      <c r="K26" s="96"/>
      <c r="L26" s="96">
        <v>19</v>
      </c>
      <c r="M26" s="96">
        <v>229.4</v>
      </c>
      <c r="N26" s="96">
        <v>238.5</v>
      </c>
      <c r="O26" s="96">
        <v>131.4</v>
      </c>
      <c r="P26" s="96">
        <f t="shared" si="0"/>
        <v>230</v>
      </c>
      <c r="Q26" s="50">
        <f t="shared" si="1"/>
        <v>0</v>
      </c>
      <c r="R26" s="70">
        <f t="shared" si="2"/>
        <v>0</v>
      </c>
      <c r="S26" s="70">
        <f t="shared" si="3"/>
        <v>0</v>
      </c>
      <c r="T26" s="70">
        <f t="shared" si="4"/>
        <v>0</v>
      </c>
      <c r="U26" s="70">
        <f t="shared" si="5"/>
        <v>0</v>
      </c>
      <c r="V26" s="70">
        <f t="shared" si="6"/>
        <v>0</v>
      </c>
      <c r="W26" s="98">
        <f t="shared" si="7"/>
        <v>0</v>
      </c>
      <c r="X26" s="98">
        <f t="shared" si="8"/>
        <v>0</v>
      </c>
      <c r="Y26" s="96"/>
      <c r="Z26" s="96">
        <v>1.4E-2</v>
      </c>
      <c r="AA26" s="98">
        <v>0</v>
      </c>
      <c r="AB26" s="86">
        <f t="shared" si="9"/>
        <v>0</v>
      </c>
      <c r="AC26" s="86">
        <f t="shared" si="10"/>
        <v>0</v>
      </c>
    </row>
    <row r="27" spans="1:29" s="71" customFormat="1" ht="31.5" x14ac:dyDescent="0.25">
      <c r="A27" s="96" t="s">
        <v>73</v>
      </c>
      <c r="B27" s="96" t="s">
        <v>80</v>
      </c>
      <c r="C27" s="96" t="s">
        <v>132</v>
      </c>
      <c r="D27" s="81"/>
      <c r="E27" s="81"/>
      <c r="F27" s="96">
        <v>2</v>
      </c>
      <c r="G27" s="82"/>
      <c r="H27" s="96"/>
      <c r="I27" s="96"/>
      <c r="J27" s="96"/>
      <c r="K27" s="96"/>
      <c r="L27" s="96">
        <v>19.05</v>
      </c>
      <c r="M27" s="96">
        <v>230</v>
      </c>
      <c r="N27" s="96">
        <v>238.5</v>
      </c>
      <c r="O27" s="96">
        <v>131.4</v>
      </c>
      <c r="P27" s="96">
        <f t="shared" si="0"/>
        <v>230</v>
      </c>
      <c r="Q27" s="50">
        <f t="shared" si="1"/>
        <v>0</v>
      </c>
      <c r="R27" s="70">
        <f t="shared" si="2"/>
        <v>0</v>
      </c>
      <c r="S27" s="70">
        <f t="shared" si="3"/>
        <v>0</v>
      </c>
      <c r="T27" s="70">
        <f t="shared" si="4"/>
        <v>0</v>
      </c>
      <c r="U27" s="70">
        <f t="shared" si="5"/>
        <v>0</v>
      </c>
      <c r="V27" s="70">
        <f t="shared" si="6"/>
        <v>0</v>
      </c>
      <c r="W27" s="98">
        <f t="shared" si="7"/>
        <v>0</v>
      </c>
      <c r="X27" s="98">
        <f t="shared" si="8"/>
        <v>0</v>
      </c>
      <c r="Y27" s="96"/>
      <c r="Z27" s="96">
        <v>1.4E-2</v>
      </c>
      <c r="AA27" s="98">
        <v>0</v>
      </c>
      <c r="AB27" s="86">
        <f t="shared" si="9"/>
        <v>0</v>
      </c>
      <c r="AC27" s="86">
        <f t="shared" si="10"/>
        <v>0</v>
      </c>
    </row>
    <row r="28" spans="1:29" s="71" customFormat="1" ht="21" x14ac:dyDescent="0.25">
      <c r="A28" s="96" t="s">
        <v>73</v>
      </c>
      <c r="B28" s="96" t="s">
        <v>80</v>
      </c>
      <c r="C28" s="96" t="s">
        <v>77</v>
      </c>
      <c r="D28" s="81"/>
      <c r="E28" s="81"/>
      <c r="F28" s="96">
        <v>2</v>
      </c>
      <c r="G28" s="82"/>
      <c r="H28" s="96">
        <v>22</v>
      </c>
      <c r="I28" s="96">
        <v>230</v>
      </c>
      <c r="J28" s="96">
        <v>238.5</v>
      </c>
      <c r="K28" s="96">
        <v>131.4</v>
      </c>
      <c r="L28" s="96"/>
      <c r="M28" s="96"/>
      <c r="N28" s="96"/>
      <c r="O28" s="96"/>
      <c r="P28" s="96">
        <f t="shared" si="0"/>
        <v>230</v>
      </c>
      <c r="Q28" s="50">
        <f t="shared" si="1"/>
        <v>0</v>
      </c>
      <c r="R28" s="70">
        <f t="shared" si="2"/>
        <v>0</v>
      </c>
      <c r="S28" s="70">
        <f t="shared" si="3"/>
        <v>0</v>
      </c>
      <c r="T28" s="70">
        <f t="shared" si="4"/>
        <v>0</v>
      </c>
      <c r="U28" s="70">
        <f t="shared" si="5"/>
        <v>0</v>
      </c>
      <c r="V28" s="70">
        <f t="shared" si="6"/>
        <v>0</v>
      </c>
      <c r="W28" s="98">
        <f t="shared" si="7"/>
        <v>0</v>
      </c>
      <c r="X28" s="98">
        <f t="shared" si="8"/>
        <v>0</v>
      </c>
      <c r="Y28" s="96"/>
      <c r="Z28" s="96">
        <v>1.4E-2</v>
      </c>
      <c r="AA28" s="98">
        <v>0</v>
      </c>
      <c r="AB28" s="86">
        <f t="shared" si="9"/>
        <v>0</v>
      </c>
      <c r="AC28" s="86">
        <f t="shared" si="10"/>
        <v>0</v>
      </c>
    </row>
    <row r="29" spans="1:29" s="71" customFormat="1" ht="11.25" x14ac:dyDescent="0.25">
      <c r="A29" s="97" t="s">
        <v>73</v>
      </c>
      <c r="B29" s="97" t="s">
        <v>80</v>
      </c>
      <c r="C29" s="97" t="s">
        <v>79</v>
      </c>
      <c r="D29" s="83"/>
      <c r="E29" s="83"/>
      <c r="F29" s="97">
        <v>2</v>
      </c>
      <c r="G29" s="84"/>
      <c r="H29" s="97"/>
      <c r="I29" s="97">
        <v>0</v>
      </c>
      <c r="J29" s="97"/>
      <c r="K29" s="97"/>
      <c r="L29" s="97"/>
      <c r="M29" s="97"/>
      <c r="N29" s="97"/>
      <c r="O29" s="97"/>
      <c r="P29" s="97">
        <f t="shared" si="0"/>
        <v>0</v>
      </c>
      <c r="Q29" s="2">
        <f t="shared" si="1"/>
        <v>0</v>
      </c>
      <c r="R29" s="72">
        <f>(D29*F29/1000*G29)+Q29</f>
        <v>0</v>
      </c>
      <c r="S29" s="72">
        <f t="shared" si="3"/>
        <v>0</v>
      </c>
      <c r="T29" s="72">
        <f t="shared" si="4"/>
        <v>0</v>
      </c>
      <c r="U29" s="72">
        <f t="shared" si="5"/>
        <v>0</v>
      </c>
      <c r="V29" s="72"/>
      <c r="W29" s="72">
        <f t="shared" si="7"/>
        <v>0</v>
      </c>
      <c r="X29" s="72">
        <f t="shared" si="8"/>
        <v>0</v>
      </c>
      <c r="Y29" s="97"/>
      <c r="Z29" s="97">
        <v>1.4E-2</v>
      </c>
      <c r="AA29" s="99">
        <v>0</v>
      </c>
      <c r="AB29" s="100"/>
      <c r="AC29" s="100"/>
    </row>
    <row r="30" spans="1:29" s="71" customFormat="1" ht="11.25" x14ac:dyDescent="0.25">
      <c r="A30" s="96" t="s">
        <v>73</v>
      </c>
      <c r="B30" s="96" t="s">
        <v>81</v>
      </c>
      <c r="C30" s="96" t="s">
        <v>83</v>
      </c>
      <c r="D30" s="81"/>
      <c r="E30" s="81"/>
      <c r="F30" s="96">
        <v>0.7</v>
      </c>
      <c r="G30" s="82"/>
      <c r="H30" s="96">
        <v>0.6</v>
      </c>
      <c r="I30" s="334">
        <v>17.37</v>
      </c>
      <c r="J30" s="96"/>
      <c r="K30" s="96"/>
      <c r="L30" s="96">
        <v>18.7</v>
      </c>
      <c r="M30" s="334">
        <v>270.63</v>
      </c>
      <c r="N30" s="96">
        <v>238.5</v>
      </c>
      <c r="O30" s="96">
        <v>131.4</v>
      </c>
      <c r="P30" s="96">
        <f t="shared" si="0"/>
        <v>288</v>
      </c>
      <c r="Q30" s="50">
        <f t="shared" si="1"/>
        <v>0</v>
      </c>
      <c r="R30" s="70">
        <f t="shared" si="2"/>
        <v>0</v>
      </c>
      <c r="S30" s="70">
        <f t="shared" si="3"/>
        <v>0</v>
      </c>
      <c r="T30" s="70">
        <f t="shared" si="4"/>
        <v>0</v>
      </c>
      <c r="U30" s="70">
        <f t="shared" si="5"/>
        <v>0</v>
      </c>
      <c r="V30" s="70">
        <f t="shared" si="6"/>
        <v>0</v>
      </c>
      <c r="W30" s="98">
        <f t="shared" si="7"/>
        <v>0</v>
      </c>
      <c r="X30" s="98">
        <f t="shared" si="8"/>
        <v>0</v>
      </c>
      <c r="Y30" s="96"/>
      <c r="Z30" s="96">
        <v>3.0000000000000001E-3</v>
      </c>
      <c r="AA30" s="98">
        <v>0</v>
      </c>
      <c r="AB30" s="86">
        <f t="shared" si="9"/>
        <v>0</v>
      </c>
      <c r="AC30" s="86">
        <f t="shared" si="10"/>
        <v>0</v>
      </c>
    </row>
    <row r="31" spans="1:29" s="71" customFormat="1" ht="11.25" x14ac:dyDescent="0.25">
      <c r="A31" s="96" t="s">
        <v>73</v>
      </c>
      <c r="B31" s="96" t="s">
        <v>81</v>
      </c>
      <c r="C31" s="96" t="s">
        <v>136</v>
      </c>
      <c r="D31" s="81"/>
      <c r="E31" s="81"/>
      <c r="F31" s="96">
        <v>0.7</v>
      </c>
      <c r="G31" s="82"/>
      <c r="H31" s="96"/>
      <c r="I31" s="96"/>
      <c r="J31" s="96"/>
      <c r="K31" s="96"/>
      <c r="L31" s="96">
        <v>19.3</v>
      </c>
      <c r="M31" s="96">
        <v>288</v>
      </c>
      <c r="N31" s="96">
        <v>238.5</v>
      </c>
      <c r="O31" s="96">
        <v>131.4</v>
      </c>
      <c r="P31" s="96">
        <f t="shared" si="0"/>
        <v>288</v>
      </c>
      <c r="Q31" s="50">
        <f t="shared" si="1"/>
        <v>0</v>
      </c>
      <c r="R31" s="70">
        <f t="shared" si="2"/>
        <v>0</v>
      </c>
      <c r="S31" s="70">
        <f t="shared" si="3"/>
        <v>0</v>
      </c>
      <c r="T31" s="70">
        <f t="shared" si="4"/>
        <v>0</v>
      </c>
      <c r="U31" s="70">
        <f t="shared" si="5"/>
        <v>0</v>
      </c>
      <c r="V31" s="70">
        <f t="shared" si="6"/>
        <v>0</v>
      </c>
      <c r="W31" s="98">
        <f t="shared" si="7"/>
        <v>0</v>
      </c>
      <c r="X31" s="98">
        <f t="shared" si="8"/>
        <v>0</v>
      </c>
      <c r="Y31" s="96"/>
      <c r="Z31" s="96">
        <v>3.0000000000000001E-3</v>
      </c>
      <c r="AA31" s="98">
        <v>0</v>
      </c>
      <c r="AB31" s="86">
        <f t="shared" si="9"/>
        <v>0</v>
      </c>
      <c r="AC31" s="86">
        <f t="shared" si="10"/>
        <v>0</v>
      </c>
    </row>
    <row r="32" spans="1:29" s="71" customFormat="1" ht="21" x14ac:dyDescent="0.25">
      <c r="A32" s="96" t="s">
        <v>73</v>
      </c>
      <c r="B32" s="96" t="s">
        <v>81</v>
      </c>
      <c r="C32" s="96" t="s">
        <v>82</v>
      </c>
      <c r="D32" s="81"/>
      <c r="E32" s="81"/>
      <c r="F32" s="96">
        <v>0.7</v>
      </c>
      <c r="G32" s="82"/>
      <c r="H32" s="96">
        <v>0.05</v>
      </c>
      <c r="I32" s="334">
        <v>0.75</v>
      </c>
      <c r="J32" s="96"/>
      <c r="K32" s="96"/>
      <c r="L32" s="96">
        <v>19</v>
      </c>
      <c r="M32" s="334">
        <v>287.25</v>
      </c>
      <c r="N32" s="96">
        <v>238.5</v>
      </c>
      <c r="O32" s="96">
        <v>131.4</v>
      </c>
      <c r="P32" s="96">
        <f t="shared" si="0"/>
        <v>288</v>
      </c>
      <c r="Q32" s="50">
        <f t="shared" si="1"/>
        <v>0</v>
      </c>
      <c r="R32" s="70">
        <f t="shared" si="2"/>
        <v>0</v>
      </c>
      <c r="S32" s="70">
        <f t="shared" si="3"/>
        <v>0</v>
      </c>
      <c r="T32" s="70">
        <f t="shared" si="4"/>
        <v>0</v>
      </c>
      <c r="U32" s="70">
        <f t="shared" si="5"/>
        <v>0</v>
      </c>
      <c r="V32" s="70">
        <f t="shared" si="6"/>
        <v>0</v>
      </c>
      <c r="W32" s="98">
        <f t="shared" si="7"/>
        <v>0</v>
      </c>
      <c r="X32" s="98">
        <f t="shared" si="8"/>
        <v>0</v>
      </c>
      <c r="Y32" s="96"/>
      <c r="Z32" s="96">
        <v>3.0000000000000001E-3</v>
      </c>
      <c r="AA32" s="98">
        <v>0</v>
      </c>
      <c r="AB32" s="86">
        <f t="shared" si="9"/>
        <v>0</v>
      </c>
      <c r="AC32" s="86">
        <f t="shared" si="10"/>
        <v>0</v>
      </c>
    </row>
    <row r="33" spans="1:29" s="71" customFormat="1" ht="31.5" x14ac:dyDescent="0.25">
      <c r="A33" s="96" t="s">
        <v>73</v>
      </c>
      <c r="B33" s="96" t="s">
        <v>81</v>
      </c>
      <c r="C33" s="96" t="s">
        <v>135</v>
      </c>
      <c r="D33" s="81"/>
      <c r="E33" s="81"/>
      <c r="F33" s="96">
        <v>0.7</v>
      </c>
      <c r="G33" s="82"/>
      <c r="H33" s="96"/>
      <c r="I33" s="96"/>
      <c r="J33" s="96"/>
      <c r="K33" s="96"/>
      <c r="L33" s="96">
        <v>19.05</v>
      </c>
      <c r="M33" s="96">
        <v>288</v>
      </c>
      <c r="N33" s="96">
        <v>238.5</v>
      </c>
      <c r="O33" s="96">
        <v>131.4</v>
      </c>
      <c r="P33" s="96">
        <f t="shared" si="0"/>
        <v>288</v>
      </c>
      <c r="Q33" s="50">
        <f t="shared" si="1"/>
        <v>0</v>
      </c>
      <c r="R33" s="70">
        <f t="shared" si="2"/>
        <v>0</v>
      </c>
      <c r="S33" s="70">
        <f t="shared" si="3"/>
        <v>0</v>
      </c>
      <c r="T33" s="70">
        <f t="shared" si="4"/>
        <v>0</v>
      </c>
      <c r="U33" s="70">
        <f t="shared" si="5"/>
        <v>0</v>
      </c>
      <c r="V33" s="70">
        <f t="shared" si="6"/>
        <v>0</v>
      </c>
      <c r="W33" s="98">
        <f t="shared" si="7"/>
        <v>0</v>
      </c>
      <c r="X33" s="98">
        <f t="shared" si="8"/>
        <v>0</v>
      </c>
      <c r="Y33" s="96"/>
      <c r="Z33" s="96">
        <v>3.0000000000000001E-3</v>
      </c>
      <c r="AA33" s="98">
        <v>0</v>
      </c>
      <c r="AB33" s="86">
        <f t="shared" si="9"/>
        <v>0</v>
      </c>
      <c r="AC33" s="86">
        <f t="shared" si="10"/>
        <v>0</v>
      </c>
    </row>
    <row r="34" spans="1:29" s="71" customFormat="1" ht="21" x14ac:dyDescent="0.25">
      <c r="A34" s="96" t="s">
        <v>73</v>
      </c>
      <c r="B34" s="96" t="s">
        <v>81</v>
      </c>
      <c r="C34" s="96" t="s">
        <v>77</v>
      </c>
      <c r="D34" s="81"/>
      <c r="E34" s="81"/>
      <c r="F34" s="96">
        <v>0.7</v>
      </c>
      <c r="G34" s="82"/>
      <c r="H34" s="96">
        <v>22</v>
      </c>
      <c r="I34" s="96">
        <v>288</v>
      </c>
      <c r="J34" s="96">
        <v>238.5</v>
      </c>
      <c r="K34" s="96">
        <v>131.4</v>
      </c>
      <c r="L34" s="96"/>
      <c r="M34" s="96"/>
      <c r="N34" s="96"/>
      <c r="O34" s="96"/>
      <c r="P34" s="96">
        <f t="shared" si="0"/>
        <v>288</v>
      </c>
      <c r="Q34" s="50">
        <f t="shared" si="1"/>
        <v>0</v>
      </c>
      <c r="R34" s="70">
        <f t="shared" si="2"/>
        <v>0</v>
      </c>
      <c r="S34" s="70">
        <f t="shared" si="3"/>
        <v>0</v>
      </c>
      <c r="T34" s="70">
        <f t="shared" si="4"/>
        <v>0</v>
      </c>
      <c r="U34" s="70">
        <f t="shared" si="5"/>
        <v>0</v>
      </c>
      <c r="V34" s="70">
        <f t="shared" si="6"/>
        <v>0</v>
      </c>
      <c r="W34" s="98">
        <f t="shared" si="7"/>
        <v>0</v>
      </c>
      <c r="X34" s="98">
        <f t="shared" si="8"/>
        <v>0</v>
      </c>
      <c r="Y34" s="96"/>
      <c r="Z34" s="96">
        <v>3.0000000000000001E-3</v>
      </c>
      <c r="AA34" s="98">
        <v>0</v>
      </c>
      <c r="AB34" s="86">
        <f t="shared" si="9"/>
        <v>0</v>
      </c>
      <c r="AC34" s="86">
        <f t="shared" si="10"/>
        <v>0</v>
      </c>
    </row>
    <row r="35" spans="1:29" s="71" customFormat="1" ht="31.5" x14ac:dyDescent="0.25">
      <c r="A35" s="96" t="s">
        <v>73</v>
      </c>
      <c r="B35" s="96" t="s">
        <v>84</v>
      </c>
      <c r="C35" s="96" t="s">
        <v>78</v>
      </c>
      <c r="D35" s="81"/>
      <c r="E35" s="81"/>
      <c r="F35" s="96">
        <v>1.8</v>
      </c>
      <c r="G35" s="82"/>
      <c r="H35" s="96">
        <v>0.15</v>
      </c>
      <c r="I35" s="96">
        <v>0.2</v>
      </c>
      <c r="J35" s="96"/>
      <c r="K35" s="96"/>
      <c r="L35" s="96">
        <v>18</v>
      </c>
      <c r="M35" s="96">
        <v>229.8</v>
      </c>
      <c r="N35" s="96">
        <v>238.5</v>
      </c>
      <c r="O35" s="96">
        <v>131.4</v>
      </c>
      <c r="P35" s="96">
        <f t="shared" si="0"/>
        <v>230</v>
      </c>
      <c r="Q35" s="50">
        <f t="shared" si="1"/>
        <v>0</v>
      </c>
      <c r="R35" s="70">
        <f t="shared" si="2"/>
        <v>0</v>
      </c>
      <c r="S35" s="70">
        <f t="shared" si="3"/>
        <v>0</v>
      </c>
      <c r="T35" s="70">
        <f t="shared" si="4"/>
        <v>0</v>
      </c>
      <c r="U35" s="70">
        <f t="shared" si="5"/>
        <v>0</v>
      </c>
      <c r="V35" s="70">
        <f t="shared" si="6"/>
        <v>0</v>
      </c>
      <c r="W35" s="98">
        <f t="shared" si="7"/>
        <v>0</v>
      </c>
      <c r="X35" s="98">
        <f t="shared" si="8"/>
        <v>0</v>
      </c>
      <c r="Y35" s="96"/>
      <c r="Z35" s="96">
        <v>3.0000000000000001E-3</v>
      </c>
      <c r="AA35" s="98">
        <v>0</v>
      </c>
      <c r="AB35" s="86">
        <f t="shared" si="9"/>
        <v>0</v>
      </c>
      <c r="AC35" s="86">
        <f t="shared" si="10"/>
        <v>0</v>
      </c>
    </row>
    <row r="36" spans="1:29" s="71" customFormat="1" ht="31.5" x14ac:dyDescent="0.25">
      <c r="A36" s="96" t="s">
        <v>73</v>
      </c>
      <c r="B36" s="96" t="s">
        <v>84</v>
      </c>
      <c r="C36" s="96" t="s">
        <v>134</v>
      </c>
      <c r="D36" s="81"/>
      <c r="E36" s="81"/>
      <c r="F36" s="96">
        <v>1.8</v>
      </c>
      <c r="G36" s="82"/>
      <c r="H36" s="96"/>
      <c r="I36" s="96"/>
      <c r="J36" s="96"/>
      <c r="K36" s="96"/>
      <c r="L36" s="96">
        <v>18.149999999999999</v>
      </c>
      <c r="M36" s="96">
        <v>230</v>
      </c>
      <c r="N36" s="96">
        <v>238.5</v>
      </c>
      <c r="O36" s="96">
        <v>131.4</v>
      </c>
      <c r="P36" s="96">
        <f t="shared" si="0"/>
        <v>230</v>
      </c>
      <c r="Q36" s="50">
        <f t="shared" si="1"/>
        <v>0</v>
      </c>
      <c r="R36" s="70">
        <f t="shared" si="2"/>
        <v>0</v>
      </c>
      <c r="S36" s="70">
        <f t="shared" si="3"/>
        <v>0</v>
      </c>
      <c r="T36" s="70">
        <f t="shared" si="4"/>
        <v>0</v>
      </c>
      <c r="U36" s="70">
        <f t="shared" si="5"/>
        <v>0</v>
      </c>
      <c r="V36" s="70">
        <f t="shared" si="6"/>
        <v>0</v>
      </c>
      <c r="W36" s="98">
        <f t="shared" si="7"/>
        <v>0</v>
      </c>
      <c r="X36" s="98">
        <f t="shared" si="8"/>
        <v>0</v>
      </c>
      <c r="Y36" s="96"/>
      <c r="Z36" s="96">
        <v>3.0000000000000001E-3</v>
      </c>
      <c r="AA36" s="98">
        <v>0</v>
      </c>
      <c r="AB36" s="86">
        <f t="shared" si="9"/>
        <v>0</v>
      </c>
      <c r="AC36" s="86">
        <f t="shared" si="10"/>
        <v>0</v>
      </c>
    </row>
    <row r="37" spans="1:29" s="71" customFormat="1" ht="31.5" x14ac:dyDescent="0.25">
      <c r="A37" s="96" t="s">
        <v>73</v>
      </c>
      <c r="B37" s="96" t="s">
        <v>85</v>
      </c>
      <c r="C37" s="96" t="s">
        <v>78</v>
      </c>
      <c r="D37" s="81"/>
      <c r="E37" s="81"/>
      <c r="F37" s="96">
        <v>2</v>
      </c>
      <c r="G37" s="82"/>
      <c r="H37" s="96">
        <v>0.15</v>
      </c>
      <c r="I37" s="96">
        <v>0.2</v>
      </c>
      <c r="J37" s="96"/>
      <c r="K37" s="96"/>
      <c r="L37" s="96">
        <v>18</v>
      </c>
      <c r="M37" s="96">
        <v>229.8</v>
      </c>
      <c r="N37" s="96">
        <v>238.5</v>
      </c>
      <c r="O37" s="96">
        <v>131.4</v>
      </c>
      <c r="P37" s="96">
        <f t="shared" si="0"/>
        <v>230</v>
      </c>
      <c r="Q37" s="50">
        <f t="shared" si="1"/>
        <v>0</v>
      </c>
      <c r="R37" s="70">
        <f t="shared" si="2"/>
        <v>0</v>
      </c>
      <c r="S37" s="70">
        <f t="shared" si="3"/>
        <v>0</v>
      </c>
      <c r="T37" s="70">
        <f t="shared" si="4"/>
        <v>0</v>
      </c>
      <c r="U37" s="70">
        <f t="shared" si="5"/>
        <v>0</v>
      </c>
      <c r="V37" s="70">
        <f t="shared" si="6"/>
        <v>0</v>
      </c>
      <c r="W37" s="98">
        <f t="shared" si="7"/>
        <v>0</v>
      </c>
      <c r="X37" s="98">
        <f t="shared" si="8"/>
        <v>0</v>
      </c>
      <c r="Y37" s="96"/>
      <c r="Z37" s="96">
        <v>3.0000000000000001E-3</v>
      </c>
      <c r="AA37" s="98">
        <v>0</v>
      </c>
      <c r="AB37" s="86">
        <f t="shared" si="9"/>
        <v>0</v>
      </c>
      <c r="AC37" s="86">
        <f t="shared" si="10"/>
        <v>0</v>
      </c>
    </row>
    <row r="38" spans="1:29" s="71" customFormat="1" ht="31.5" x14ac:dyDescent="0.25">
      <c r="A38" s="96" t="s">
        <v>73</v>
      </c>
      <c r="B38" s="96" t="s">
        <v>85</v>
      </c>
      <c r="C38" s="96" t="s">
        <v>134</v>
      </c>
      <c r="D38" s="81"/>
      <c r="E38" s="81"/>
      <c r="F38" s="96">
        <v>2</v>
      </c>
      <c r="G38" s="82"/>
      <c r="H38" s="96"/>
      <c r="I38" s="96"/>
      <c r="J38" s="96"/>
      <c r="K38" s="96"/>
      <c r="L38" s="96">
        <v>18.149999999999999</v>
      </c>
      <c r="M38" s="96">
        <v>230</v>
      </c>
      <c r="N38" s="96">
        <v>238.5</v>
      </c>
      <c r="O38" s="96">
        <v>131.4</v>
      </c>
      <c r="P38" s="96">
        <f t="shared" si="0"/>
        <v>230</v>
      </c>
      <c r="Q38" s="50">
        <f t="shared" si="1"/>
        <v>0</v>
      </c>
      <c r="R38" s="70">
        <f t="shared" si="2"/>
        <v>0</v>
      </c>
      <c r="S38" s="70">
        <f t="shared" si="3"/>
        <v>0</v>
      </c>
      <c r="T38" s="70">
        <f t="shared" si="4"/>
        <v>0</v>
      </c>
      <c r="U38" s="70">
        <f t="shared" si="5"/>
        <v>0</v>
      </c>
      <c r="V38" s="70">
        <f t="shared" si="6"/>
        <v>0</v>
      </c>
      <c r="W38" s="98">
        <f t="shared" si="7"/>
        <v>0</v>
      </c>
      <c r="X38" s="98">
        <f t="shared" si="8"/>
        <v>0</v>
      </c>
      <c r="Y38" s="96"/>
      <c r="Z38" s="96">
        <v>3.0000000000000001E-3</v>
      </c>
      <c r="AA38" s="98">
        <v>0</v>
      </c>
      <c r="AB38" s="86">
        <f t="shared" si="9"/>
        <v>0</v>
      </c>
      <c r="AC38" s="86">
        <f t="shared" si="10"/>
        <v>0</v>
      </c>
    </row>
    <row r="39" spans="1:29" s="71" customFormat="1" ht="11.25" x14ac:dyDescent="0.25">
      <c r="A39" s="96" t="s">
        <v>96</v>
      </c>
      <c r="B39" s="96" t="s">
        <v>96</v>
      </c>
      <c r="C39" s="96" t="s">
        <v>89</v>
      </c>
      <c r="D39" s="81"/>
      <c r="E39" s="81"/>
      <c r="F39" s="96">
        <v>2.4</v>
      </c>
      <c r="G39" s="82"/>
      <c r="H39" s="96"/>
      <c r="I39" s="96"/>
      <c r="J39" s="96"/>
      <c r="K39" s="96"/>
      <c r="L39" s="96">
        <v>12.8</v>
      </c>
      <c r="M39" s="96">
        <v>243.2</v>
      </c>
      <c r="N39" s="96">
        <v>320</v>
      </c>
      <c r="O39" s="96">
        <v>179</v>
      </c>
      <c r="P39" s="96">
        <f t="shared" si="0"/>
        <v>243.2</v>
      </c>
      <c r="Q39" s="50">
        <f t="shared" si="1"/>
        <v>0</v>
      </c>
      <c r="R39" s="70">
        <f t="shared" si="2"/>
        <v>0</v>
      </c>
      <c r="S39" s="70">
        <f t="shared" si="3"/>
        <v>0</v>
      </c>
      <c r="T39" s="70">
        <f t="shared" si="4"/>
        <v>0</v>
      </c>
      <c r="U39" s="70">
        <f t="shared" si="5"/>
        <v>0</v>
      </c>
      <c r="V39" s="70">
        <f t="shared" si="6"/>
        <v>0</v>
      </c>
      <c r="W39" s="98">
        <f t="shared" si="7"/>
        <v>0</v>
      </c>
      <c r="X39" s="98">
        <f t="shared" si="8"/>
        <v>0</v>
      </c>
      <c r="Y39" s="96"/>
      <c r="Z39" s="96">
        <v>3.0000000000000001E-3</v>
      </c>
      <c r="AA39" s="98">
        <v>0</v>
      </c>
      <c r="AB39" s="86">
        <f t="shared" si="9"/>
        <v>0</v>
      </c>
      <c r="AC39" s="86">
        <f t="shared" si="10"/>
        <v>0</v>
      </c>
    </row>
    <row r="40" spans="1:29" s="71" customFormat="1" ht="11.25" x14ac:dyDescent="0.25">
      <c r="A40" s="96" t="s">
        <v>99</v>
      </c>
      <c r="B40" s="96" t="s">
        <v>99</v>
      </c>
      <c r="C40" s="96" t="s">
        <v>89</v>
      </c>
      <c r="D40" s="81"/>
      <c r="E40" s="81"/>
      <c r="F40" s="96">
        <v>0.3</v>
      </c>
      <c r="G40" s="82"/>
      <c r="H40" s="96"/>
      <c r="I40" s="96"/>
      <c r="J40" s="96"/>
      <c r="K40" s="96"/>
      <c r="L40" s="96">
        <v>12.8</v>
      </c>
      <c r="M40" s="96">
        <v>243.2</v>
      </c>
      <c r="N40" s="96">
        <v>320</v>
      </c>
      <c r="O40" s="96">
        <v>179</v>
      </c>
      <c r="P40" s="96">
        <f t="shared" si="0"/>
        <v>243.2</v>
      </c>
      <c r="Q40" s="50">
        <f t="shared" si="1"/>
        <v>0</v>
      </c>
      <c r="R40" s="70">
        <f t="shared" si="2"/>
        <v>0</v>
      </c>
      <c r="S40" s="70">
        <f t="shared" si="3"/>
        <v>0</v>
      </c>
      <c r="T40" s="70">
        <f t="shared" si="4"/>
        <v>0</v>
      </c>
      <c r="U40" s="70">
        <f t="shared" si="5"/>
        <v>0</v>
      </c>
      <c r="V40" s="70">
        <f t="shared" si="6"/>
        <v>0</v>
      </c>
      <c r="W40" s="98">
        <f t="shared" si="7"/>
        <v>0</v>
      </c>
      <c r="X40" s="98">
        <f t="shared" si="8"/>
        <v>0</v>
      </c>
      <c r="Y40" s="96"/>
      <c r="Z40" s="96">
        <v>3.0000000000000001E-3</v>
      </c>
      <c r="AA40" s="98">
        <v>0</v>
      </c>
      <c r="AB40" s="86">
        <f t="shared" si="9"/>
        <v>0</v>
      </c>
      <c r="AC40" s="86">
        <f t="shared" si="10"/>
        <v>0</v>
      </c>
    </row>
    <row r="41" spans="1:29" s="71" customFormat="1" ht="21" x14ac:dyDescent="0.25">
      <c r="A41" s="335" t="s">
        <v>86</v>
      </c>
      <c r="B41" s="335" t="s">
        <v>86</v>
      </c>
      <c r="C41" s="335" t="s">
        <v>87</v>
      </c>
      <c r="D41" s="81"/>
      <c r="E41" s="81"/>
      <c r="F41" s="96">
        <v>1</v>
      </c>
      <c r="G41" s="82"/>
      <c r="H41" s="96">
        <v>0.6</v>
      </c>
      <c r="I41" s="334">
        <v>16.899999999999999</v>
      </c>
      <c r="J41" s="96"/>
      <c r="K41" s="96"/>
      <c r="L41" s="96">
        <v>9.5</v>
      </c>
      <c r="M41" s="334">
        <v>173.1</v>
      </c>
      <c r="N41" s="96">
        <v>319</v>
      </c>
      <c r="O41" s="96">
        <v>179</v>
      </c>
      <c r="P41" s="334">
        <f t="shared" si="0"/>
        <v>190</v>
      </c>
      <c r="Q41" s="50">
        <f t="shared" si="1"/>
        <v>0</v>
      </c>
      <c r="R41" s="70">
        <f t="shared" si="2"/>
        <v>0</v>
      </c>
      <c r="S41" s="70">
        <f t="shared" si="3"/>
        <v>0</v>
      </c>
      <c r="T41" s="70">
        <f t="shared" si="4"/>
        <v>0</v>
      </c>
      <c r="U41" s="413">
        <f t="shared" si="5"/>
        <v>0</v>
      </c>
      <c r="V41" s="70">
        <f t="shared" si="6"/>
        <v>0</v>
      </c>
      <c r="W41" s="98">
        <f t="shared" si="7"/>
        <v>0</v>
      </c>
      <c r="X41" s="98">
        <f t="shared" si="8"/>
        <v>0</v>
      </c>
      <c r="Y41" s="96"/>
      <c r="Z41" s="96">
        <v>3.0000000000000001E-3</v>
      </c>
      <c r="AA41" s="98">
        <v>0</v>
      </c>
      <c r="AB41" s="86">
        <f t="shared" si="9"/>
        <v>0</v>
      </c>
      <c r="AC41" s="86">
        <f t="shared" si="10"/>
        <v>0</v>
      </c>
    </row>
    <row r="42" spans="1:29" s="71" customFormat="1" ht="21" x14ac:dyDescent="0.25">
      <c r="A42" s="335" t="s">
        <v>86</v>
      </c>
      <c r="B42" s="335" t="s">
        <v>86</v>
      </c>
      <c r="C42" s="335" t="s">
        <v>137</v>
      </c>
      <c r="D42" s="81"/>
      <c r="E42" s="81"/>
      <c r="F42" s="96">
        <v>1</v>
      </c>
      <c r="G42" s="82"/>
      <c r="H42" s="96"/>
      <c r="I42" s="96"/>
      <c r="J42" s="96"/>
      <c r="K42" s="96"/>
      <c r="L42" s="96">
        <v>10.1</v>
      </c>
      <c r="M42" s="334">
        <v>190</v>
      </c>
      <c r="N42" s="96">
        <v>319</v>
      </c>
      <c r="O42" s="96">
        <v>179</v>
      </c>
      <c r="P42" s="334">
        <f t="shared" si="0"/>
        <v>190</v>
      </c>
      <c r="Q42" s="50">
        <f t="shared" si="1"/>
        <v>0</v>
      </c>
      <c r="R42" s="70">
        <f t="shared" si="2"/>
        <v>0</v>
      </c>
      <c r="S42" s="70">
        <f t="shared" si="3"/>
        <v>0</v>
      </c>
      <c r="T42" s="70">
        <f t="shared" si="4"/>
        <v>0</v>
      </c>
      <c r="U42" s="413">
        <f t="shared" si="5"/>
        <v>0</v>
      </c>
      <c r="V42" s="70">
        <f t="shared" si="6"/>
        <v>0</v>
      </c>
      <c r="W42" s="98">
        <f t="shared" si="7"/>
        <v>0</v>
      </c>
      <c r="X42" s="98">
        <f t="shared" si="8"/>
        <v>0</v>
      </c>
      <c r="Y42" s="96"/>
      <c r="Z42" s="96">
        <v>3.0000000000000001E-3</v>
      </c>
      <c r="AA42" s="98">
        <v>0</v>
      </c>
      <c r="AB42" s="86">
        <f t="shared" si="9"/>
        <v>0</v>
      </c>
      <c r="AC42" s="86">
        <f t="shared" si="10"/>
        <v>0</v>
      </c>
    </row>
    <row r="43" spans="1:29" s="71" customFormat="1" ht="21" x14ac:dyDescent="0.25">
      <c r="A43" s="96" t="s">
        <v>252</v>
      </c>
      <c r="B43" s="96" t="s">
        <v>100</v>
      </c>
      <c r="C43" s="96" t="s">
        <v>89</v>
      </c>
      <c r="D43" s="81"/>
      <c r="E43" s="81"/>
      <c r="F43" s="96">
        <v>0.6</v>
      </c>
      <c r="G43" s="82"/>
      <c r="H43" s="96"/>
      <c r="I43" s="96"/>
      <c r="J43" s="96"/>
      <c r="K43" s="96"/>
      <c r="L43" s="96">
        <v>12.8</v>
      </c>
      <c r="M43" s="96">
        <v>243.2</v>
      </c>
      <c r="N43" s="96">
        <v>320</v>
      </c>
      <c r="O43" s="96">
        <v>179</v>
      </c>
      <c r="P43" s="96">
        <f t="shared" si="0"/>
        <v>243.2</v>
      </c>
      <c r="Q43" s="50">
        <f t="shared" si="1"/>
        <v>0</v>
      </c>
      <c r="R43" s="70">
        <f t="shared" si="2"/>
        <v>0</v>
      </c>
      <c r="S43" s="70">
        <f t="shared" si="3"/>
        <v>0</v>
      </c>
      <c r="T43" s="70">
        <f t="shared" si="4"/>
        <v>0</v>
      </c>
      <c r="U43" s="70">
        <f t="shared" si="5"/>
        <v>0</v>
      </c>
      <c r="V43" s="70">
        <f t="shared" si="6"/>
        <v>0</v>
      </c>
      <c r="W43" s="98">
        <f t="shared" si="7"/>
        <v>0</v>
      </c>
      <c r="X43" s="98">
        <f t="shared" si="8"/>
        <v>0</v>
      </c>
      <c r="Y43" s="96"/>
      <c r="Z43" s="96">
        <v>3.0000000000000001E-3</v>
      </c>
      <c r="AA43" s="98">
        <v>0</v>
      </c>
      <c r="AB43" s="86">
        <f t="shared" si="9"/>
        <v>0</v>
      </c>
      <c r="AC43" s="86">
        <f t="shared" si="10"/>
        <v>0</v>
      </c>
    </row>
    <row r="44" spans="1:29" s="71" customFormat="1" ht="11.25" x14ac:dyDescent="0.25">
      <c r="A44" s="96" t="s">
        <v>97</v>
      </c>
      <c r="B44" s="96" t="s">
        <v>97</v>
      </c>
      <c r="C44" s="96" t="s">
        <v>89</v>
      </c>
      <c r="D44" s="81"/>
      <c r="E44" s="81"/>
      <c r="F44" s="96">
        <v>100</v>
      </c>
      <c r="G44" s="82"/>
      <c r="H44" s="96"/>
      <c r="I44" s="96"/>
      <c r="J44" s="96"/>
      <c r="K44" s="96"/>
      <c r="L44" s="96">
        <v>12.8</v>
      </c>
      <c r="M44" s="96">
        <v>243.2</v>
      </c>
      <c r="N44" s="96">
        <v>320</v>
      </c>
      <c r="O44" s="96">
        <v>179</v>
      </c>
      <c r="P44" s="96">
        <f t="shared" si="0"/>
        <v>243.2</v>
      </c>
      <c r="Q44" s="50">
        <f t="shared" si="1"/>
        <v>0</v>
      </c>
      <c r="R44" s="70">
        <f t="shared" si="2"/>
        <v>0</v>
      </c>
      <c r="S44" s="70">
        <f t="shared" si="3"/>
        <v>0</v>
      </c>
      <c r="T44" s="70">
        <f t="shared" si="4"/>
        <v>0</v>
      </c>
      <c r="U44" s="70">
        <f t="shared" si="5"/>
        <v>0</v>
      </c>
      <c r="V44" s="70">
        <f t="shared" si="6"/>
        <v>0</v>
      </c>
      <c r="W44" s="98">
        <f t="shared" si="7"/>
        <v>0</v>
      </c>
      <c r="X44" s="98">
        <f t="shared" si="8"/>
        <v>0</v>
      </c>
      <c r="Y44" s="96"/>
      <c r="Z44" s="96">
        <v>3.0000000000000001E-3</v>
      </c>
      <c r="AA44" s="98">
        <v>0</v>
      </c>
      <c r="AB44" s="86">
        <f t="shared" si="9"/>
        <v>0</v>
      </c>
      <c r="AC44" s="86">
        <f t="shared" si="10"/>
        <v>0</v>
      </c>
    </row>
    <row r="45" spans="1:29" s="71" customFormat="1" ht="21" x14ac:dyDescent="0.25">
      <c r="A45" s="96" t="s">
        <v>90</v>
      </c>
      <c r="B45" s="96" t="s">
        <v>93</v>
      </c>
      <c r="C45" s="96" t="s">
        <v>94</v>
      </c>
      <c r="D45" s="81"/>
      <c r="E45" s="81"/>
      <c r="F45" s="96">
        <v>4.5</v>
      </c>
      <c r="G45" s="82"/>
      <c r="H45" s="96">
        <v>0.4</v>
      </c>
      <c r="I45" s="96">
        <v>1</v>
      </c>
      <c r="J45" s="96"/>
      <c r="K45" s="96"/>
      <c r="L45" s="96">
        <v>6.2</v>
      </c>
      <c r="M45" s="96">
        <v>117</v>
      </c>
      <c r="N45" s="96">
        <v>319</v>
      </c>
      <c r="O45" s="96">
        <v>179</v>
      </c>
      <c r="P45" s="96">
        <f t="shared" si="0"/>
        <v>118</v>
      </c>
      <c r="Q45" s="50">
        <f t="shared" si="1"/>
        <v>0</v>
      </c>
      <c r="R45" s="70">
        <f t="shared" si="2"/>
        <v>0</v>
      </c>
      <c r="S45" s="70">
        <f t="shared" si="3"/>
        <v>0</v>
      </c>
      <c r="T45" s="70">
        <f t="shared" si="4"/>
        <v>0</v>
      </c>
      <c r="U45" s="70">
        <f t="shared" si="5"/>
        <v>0</v>
      </c>
      <c r="V45" s="70">
        <f t="shared" si="6"/>
        <v>0</v>
      </c>
      <c r="W45" s="98">
        <f t="shared" si="7"/>
        <v>0</v>
      </c>
      <c r="X45" s="98">
        <f t="shared" si="8"/>
        <v>0</v>
      </c>
      <c r="Y45" s="96"/>
      <c r="Z45" s="96">
        <v>3.0000000000000001E-3</v>
      </c>
      <c r="AA45" s="98">
        <v>0</v>
      </c>
      <c r="AB45" s="86">
        <f t="shared" si="9"/>
        <v>0</v>
      </c>
      <c r="AC45" s="86">
        <f t="shared" si="10"/>
        <v>0</v>
      </c>
    </row>
    <row r="46" spans="1:29" s="71" customFormat="1" ht="21" x14ac:dyDescent="0.25">
      <c r="A46" s="96" t="s">
        <v>90</v>
      </c>
      <c r="B46" s="96" t="s">
        <v>93</v>
      </c>
      <c r="C46" s="96" t="s">
        <v>140</v>
      </c>
      <c r="D46" s="81"/>
      <c r="E46" s="81"/>
      <c r="F46" s="96">
        <v>4.5</v>
      </c>
      <c r="G46" s="82"/>
      <c r="H46" s="96"/>
      <c r="I46" s="96"/>
      <c r="J46" s="96"/>
      <c r="K46" s="96"/>
      <c r="L46" s="96">
        <v>6.6</v>
      </c>
      <c r="M46" s="96">
        <v>118</v>
      </c>
      <c r="N46" s="96">
        <v>319</v>
      </c>
      <c r="O46" s="96">
        <v>179</v>
      </c>
      <c r="P46" s="96">
        <f t="shared" si="0"/>
        <v>118</v>
      </c>
      <c r="Q46" s="50">
        <f t="shared" si="1"/>
        <v>0</v>
      </c>
      <c r="R46" s="70">
        <f t="shared" si="2"/>
        <v>0</v>
      </c>
      <c r="S46" s="70">
        <f t="shared" si="3"/>
        <v>0</v>
      </c>
      <c r="T46" s="70">
        <f t="shared" si="4"/>
        <v>0</v>
      </c>
      <c r="U46" s="70">
        <f t="shared" si="5"/>
        <v>0</v>
      </c>
      <c r="V46" s="70">
        <f t="shared" si="6"/>
        <v>0</v>
      </c>
      <c r="W46" s="98">
        <f t="shared" si="7"/>
        <v>0</v>
      </c>
      <c r="X46" s="98">
        <f t="shared" si="8"/>
        <v>0</v>
      </c>
      <c r="Y46" s="96"/>
      <c r="Z46" s="96">
        <v>3.0000000000000001E-3</v>
      </c>
      <c r="AA46" s="98">
        <v>0</v>
      </c>
      <c r="AB46" s="86">
        <f t="shared" si="9"/>
        <v>0</v>
      </c>
      <c r="AC46" s="86">
        <f t="shared" si="10"/>
        <v>0</v>
      </c>
    </row>
    <row r="47" spans="1:29" s="71" customFormat="1" ht="21" x14ac:dyDescent="0.25">
      <c r="A47" s="96" t="s">
        <v>90</v>
      </c>
      <c r="B47" s="96" t="s">
        <v>91</v>
      </c>
      <c r="C47" s="96" t="s">
        <v>92</v>
      </c>
      <c r="D47" s="81"/>
      <c r="E47" s="81"/>
      <c r="F47" s="96">
        <v>9</v>
      </c>
      <c r="G47" s="82"/>
      <c r="H47" s="96">
        <v>0.4</v>
      </c>
      <c r="I47" s="96">
        <v>1</v>
      </c>
      <c r="J47" s="96"/>
      <c r="K47" s="96"/>
      <c r="L47" s="96">
        <v>6.2</v>
      </c>
      <c r="M47" s="96">
        <v>117</v>
      </c>
      <c r="N47" s="96">
        <v>319</v>
      </c>
      <c r="O47" s="96">
        <v>179</v>
      </c>
      <c r="P47" s="96">
        <f t="shared" si="0"/>
        <v>118</v>
      </c>
      <c r="Q47" s="50">
        <f t="shared" si="1"/>
        <v>0</v>
      </c>
      <c r="R47" s="70">
        <f t="shared" si="2"/>
        <v>0</v>
      </c>
      <c r="S47" s="70">
        <f t="shared" si="3"/>
        <v>0</v>
      </c>
      <c r="T47" s="70">
        <f t="shared" si="4"/>
        <v>0</v>
      </c>
      <c r="U47" s="70">
        <f t="shared" si="5"/>
        <v>0</v>
      </c>
      <c r="V47" s="70">
        <f t="shared" si="6"/>
        <v>0</v>
      </c>
      <c r="W47" s="98">
        <f t="shared" si="7"/>
        <v>0</v>
      </c>
      <c r="X47" s="98">
        <f t="shared" si="8"/>
        <v>0</v>
      </c>
      <c r="Y47" s="96"/>
      <c r="Z47" s="96">
        <v>3.0000000000000001E-3</v>
      </c>
      <c r="AA47" s="98">
        <v>0</v>
      </c>
      <c r="AB47" s="86">
        <f t="shared" si="9"/>
        <v>0</v>
      </c>
      <c r="AC47" s="86">
        <f t="shared" si="10"/>
        <v>0</v>
      </c>
    </row>
    <row r="48" spans="1:29" s="71" customFormat="1" ht="21" x14ac:dyDescent="0.25">
      <c r="A48" s="96" t="s">
        <v>90</v>
      </c>
      <c r="B48" s="96" t="s">
        <v>91</v>
      </c>
      <c r="C48" s="96" t="s">
        <v>139</v>
      </c>
      <c r="D48" s="81"/>
      <c r="E48" s="81"/>
      <c r="F48" s="96">
        <v>9</v>
      </c>
      <c r="G48" s="82"/>
      <c r="H48" s="96"/>
      <c r="I48" s="96"/>
      <c r="J48" s="96"/>
      <c r="K48" s="96"/>
      <c r="L48" s="96">
        <v>6.6</v>
      </c>
      <c r="M48" s="96">
        <v>118</v>
      </c>
      <c r="N48" s="96">
        <v>319</v>
      </c>
      <c r="O48" s="101">
        <v>179</v>
      </c>
      <c r="P48" s="96">
        <f t="shared" si="0"/>
        <v>118</v>
      </c>
      <c r="Q48" s="50">
        <f t="shared" si="1"/>
        <v>0</v>
      </c>
      <c r="R48" s="70">
        <f t="shared" si="2"/>
        <v>0</v>
      </c>
      <c r="S48" s="70">
        <f t="shared" si="3"/>
        <v>0</v>
      </c>
      <c r="T48" s="70">
        <f t="shared" si="4"/>
        <v>0</v>
      </c>
      <c r="U48" s="70">
        <f t="shared" si="5"/>
        <v>0</v>
      </c>
      <c r="V48" s="89">
        <f t="shared" si="6"/>
        <v>0</v>
      </c>
      <c r="W48" s="98">
        <f t="shared" si="7"/>
        <v>0</v>
      </c>
      <c r="X48" s="98">
        <f t="shared" si="8"/>
        <v>0</v>
      </c>
      <c r="Y48" s="96"/>
      <c r="Z48" s="96">
        <v>3.0000000000000001E-3</v>
      </c>
      <c r="AA48" s="98">
        <v>0</v>
      </c>
      <c r="AB48" s="86">
        <f t="shared" si="9"/>
        <v>0</v>
      </c>
      <c r="AC48" s="86">
        <f t="shared" si="10"/>
        <v>0</v>
      </c>
    </row>
    <row r="49" spans="1:29" s="69" customFormat="1" ht="16.899999999999999" customHeight="1" x14ac:dyDescent="0.2">
      <c r="A49" s="74" t="s">
        <v>264</v>
      </c>
      <c r="B49" s="88"/>
      <c r="C49" s="88"/>
      <c r="D49" s="134">
        <f>SUM(D9:D48)-D21-D29</f>
        <v>0</v>
      </c>
      <c r="E49" s="92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0"/>
      <c r="Q49" s="135">
        <f t="shared" ref="Q49:X49" si="11">SUM(Q9:Q48)</f>
        <v>0</v>
      </c>
      <c r="R49" s="135">
        <f t="shared" si="11"/>
        <v>0</v>
      </c>
      <c r="S49" s="135">
        <f t="shared" si="11"/>
        <v>0</v>
      </c>
      <c r="T49" s="135">
        <f t="shared" si="11"/>
        <v>0</v>
      </c>
      <c r="U49" s="136">
        <f t="shared" si="11"/>
        <v>0</v>
      </c>
      <c r="V49" s="135">
        <f t="shared" si="11"/>
        <v>0</v>
      </c>
      <c r="W49" s="135">
        <f t="shared" si="11"/>
        <v>0</v>
      </c>
      <c r="X49" s="135">
        <f t="shared" si="11"/>
        <v>0</v>
      </c>
      <c r="Y49" s="137"/>
      <c r="Z49" s="137"/>
      <c r="AA49" s="137"/>
      <c r="AB49" s="113">
        <f>SUM(AB9:AB48)</f>
        <v>0</v>
      </c>
      <c r="AC49" s="113">
        <f>SUM(AC9:AC48)</f>
        <v>0</v>
      </c>
    </row>
    <row r="50" spans="1:29" ht="15.75" thickBot="1" x14ac:dyDescent="0.3"/>
    <row r="51" spans="1:29" ht="15.75" thickBot="1" x14ac:dyDescent="0.3">
      <c r="A51" s="229" t="s">
        <v>79</v>
      </c>
      <c r="B51" s="230">
        <f>R21+R29</f>
        <v>0</v>
      </c>
    </row>
    <row r="53" spans="1:29" ht="32.25" customHeight="1" x14ac:dyDescent="0.25">
      <c r="A53" s="335" t="s">
        <v>86</v>
      </c>
      <c r="B53" s="593" t="s">
        <v>459</v>
      </c>
      <c r="C53" s="593"/>
    </row>
  </sheetData>
  <sheetProtection sheet="1"/>
  <mergeCells count="1">
    <mergeCell ref="B53:C53"/>
  </mergeCells>
  <phoneticPr fontId="7" type="noConversion"/>
  <pageMargins left="0.23622047244094491" right="0.23622047244094491" top="0.62992125984251968" bottom="0.43307086614173229" header="0.31496062992125984" footer="0.31496062992125984"/>
  <pageSetup paperSize="9" scale="7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/>
  <dimension ref="A1:AJ97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22" customWidth="1"/>
    <col min="2" max="2" width="21" customWidth="1"/>
    <col min="3" max="3" width="32.42578125" customWidth="1"/>
    <col min="4" max="4" width="8.5703125" customWidth="1"/>
    <col min="6" max="6" width="8.85546875" customWidth="1"/>
    <col min="8" max="16" width="8.85546875" hidden="1" customWidth="1"/>
    <col min="18" max="19" width="9.85546875" customWidth="1"/>
    <col min="20" max="20" width="9.85546875" bestFit="1" customWidth="1"/>
    <col min="21" max="21" width="9.85546875" customWidth="1"/>
    <col min="22" max="22" width="8.5703125" customWidth="1"/>
    <col min="23" max="23" width="9.28515625" customWidth="1"/>
    <col min="24" max="24" width="9.5703125" customWidth="1"/>
    <col min="25" max="27" width="8.85546875" hidden="1" customWidth="1"/>
    <col min="28" max="29" width="8.28515625" customWidth="1"/>
  </cols>
  <sheetData>
    <row r="1" spans="1:29" x14ac:dyDescent="0.25">
      <c r="A1" s="9" t="s">
        <v>280</v>
      </c>
    </row>
    <row r="2" spans="1:29" x14ac:dyDescent="0.25">
      <c r="A2" s="4" t="s">
        <v>146</v>
      </c>
    </row>
    <row r="3" spans="1:29" x14ac:dyDescent="0.25">
      <c r="A3" s="4" t="s">
        <v>169</v>
      </c>
    </row>
    <row r="4" spans="1:29" x14ac:dyDescent="0.25">
      <c r="A4" s="13" t="s">
        <v>281</v>
      </c>
    </row>
    <row r="5" spans="1:29" x14ac:dyDescent="0.25">
      <c r="A5" s="190" t="s">
        <v>448</v>
      </c>
    </row>
    <row r="6" spans="1:29" x14ac:dyDescent="0.25">
      <c r="A6" s="13"/>
    </row>
    <row r="7" spans="1:29" s="73" customFormat="1" ht="73.5" x14ac:dyDescent="0.2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303</v>
      </c>
      <c r="H7" s="1" t="s">
        <v>297</v>
      </c>
      <c r="I7" s="1" t="s">
        <v>294</v>
      </c>
      <c r="J7" s="1" t="s">
        <v>295</v>
      </c>
      <c r="K7" s="1" t="s">
        <v>296</v>
      </c>
      <c r="L7" s="1" t="s">
        <v>298</v>
      </c>
      <c r="M7" s="1" t="s">
        <v>299</v>
      </c>
      <c r="N7" s="1" t="s">
        <v>300</v>
      </c>
      <c r="O7" s="1" t="s">
        <v>301</v>
      </c>
      <c r="P7" s="1" t="s">
        <v>302</v>
      </c>
      <c r="Q7" s="1" t="s">
        <v>165</v>
      </c>
      <c r="R7" s="68" t="s">
        <v>147</v>
      </c>
      <c r="S7" s="68" t="s">
        <v>148</v>
      </c>
      <c r="T7" s="68" t="s">
        <v>274</v>
      </c>
      <c r="U7" s="68" t="s">
        <v>275</v>
      </c>
      <c r="V7" s="68" t="s">
        <v>307</v>
      </c>
      <c r="W7" s="68" t="s">
        <v>421</v>
      </c>
      <c r="X7" s="68" t="s">
        <v>416</v>
      </c>
      <c r="Y7" s="68" t="s">
        <v>225</v>
      </c>
      <c r="Z7" s="68" t="s">
        <v>226</v>
      </c>
      <c r="AA7" s="68" t="s">
        <v>265</v>
      </c>
      <c r="AB7" s="68" t="s">
        <v>266</v>
      </c>
      <c r="AC7" s="68" t="s">
        <v>268</v>
      </c>
    </row>
    <row r="8" spans="1:29" ht="21" x14ac:dyDescent="0.25">
      <c r="A8" s="85" t="s">
        <v>259</v>
      </c>
      <c r="B8" s="85" t="s">
        <v>71</v>
      </c>
      <c r="C8" s="85" t="s">
        <v>61</v>
      </c>
      <c r="D8" s="111"/>
      <c r="E8" s="111"/>
      <c r="F8" s="85">
        <v>100</v>
      </c>
      <c r="G8" s="85"/>
      <c r="H8" s="85">
        <v>19</v>
      </c>
      <c r="I8" s="85">
        <v>120</v>
      </c>
      <c r="J8" s="85">
        <v>48</v>
      </c>
      <c r="K8" s="85">
        <v>127</v>
      </c>
      <c r="L8" s="85"/>
      <c r="M8" s="85"/>
      <c r="N8" s="85"/>
      <c r="O8" s="85"/>
      <c r="P8" s="85">
        <f>I8+M8</f>
        <v>120</v>
      </c>
      <c r="Q8" s="50">
        <f>IF(E8="SI", D8*F8/1000*L8, 0)</f>
        <v>0</v>
      </c>
      <c r="R8" s="70">
        <f>(D8*F8/1000*H8)+Q8</f>
        <v>0</v>
      </c>
      <c r="S8" s="70">
        <f>(D8*F8/1000*L8)-Q8</f>
        <v>0</v>
      </c>
      <c r="T8" s="70">
        <f>IF(Q8=0,I8*D8*F8/1000,((I8*D8*F8/1000)+(M8*D8*F8/1000)))</f>
        <v>0</v>
      </c>
      <c r="U8" s="70">
        <f>IF(Q8=0, M8*D8*F8/1000, 0)</f>
        <v>0</v>
      </c>
      <c r="V8" s="70">
        <f>D8*F8/1000</f>
        <v>0</v>
      </c>
      <c r="W8" s="345">
        <f>IF(Q8=0,D8*F8/1000*J8+D8*F8/1000*N8,(J8*D8*F8/1000)+(N8*D8*F8/1000))</f>
        <v>0</v>
      </c>
      <c r="X8" s="345">
        <f>IF(Q8=0,D8*F8/1000*K8+D8*F8/1000*O8,(K8*D8*F8/1000)+(O8*D8*F8/1000))</f>
        <v>0</v>
      </c>
      <c r="Y8" s="85"/>
      <c r="Z8" s="85">
        <v>0.4</v>
      </c>
      <c r="AA8" s="85">
        <v>0</v>
      </c>
      <c r="AB8" s="86">
        <f t="shared" ref="AB8:AB39" si="0">Z8*D8</f>
        <v>0</v>
      </c>
      <c r="AC8" s="86">
        <f t="shared" ref="AC8:AC39" si="1">AA8*D8</f>
        <v>0</v>
      </c>
    </row>
    <row r="9" spans="1:29" ht="21" x14ac:dyDescent="0.25">
      <c r="A9" s="85" t="s">
        <v>259</v>
      </c>
      <c r="B9" s="85" t="s">
        <v>71</v>
      </c>
      <c r="C9" s="85" t="s">
        <v>60</v>
      </c>
      <c r="D9" s="111"/>
      <c r="E9" s="111"/>
      <c r="F9" s="85">
        <v>100</v>
      </c>
      <c r="G9" s="85"/>
      <c r="H9" s="85">
        <v>3</v>
      </c>
      <c r="I9" s="85">
        <v>20</v>
      </c>
      <c r="J9" s="85">
        <v>8</v>
      </c>
      <c r="K9" s="85">
        <v>10.8</v>
      </c>
      <c r="L9" s="85">
        <v>38</v>
      </c>
      <c r="M9" s="85">
        <v>100</v>
      </c>
      <c r="N9" s="85">
        <v>40</v>
      </c>
      <c r="O9" s="85">
        <v>116.4</v>
      </c>
      <c r="P9" s="85">
        <f t="shared" ref="P9:P73" si="2">I9+M9</f>
        <v>120</v>
      </c>
      <c r="Q9" s="50">
        <f t="shared" ref="Q9:Q73" si="3">IF(E9="SI", D9*F9/1000*L9, 0)</f>
        <v>0</v>
      </c>
      <c r="R9" s="70">
        <f t="shared" ref="R9:R73" si="4">(D9*F9/1000*H9)+Q9</f>
        <v>0</v>
      </c>
      <c r="S9" s="70">
        <f t="shared" ref="S9:S73" si="5">(D9*F9/1000*L9)-Q9</f>
        <v>0</v>
      </c>
      <c r="T9" s="70">
        <f t="shared" ref="T9:T73" si="6">IF(Q9=0,I9*D9*F9/1000,((I9*D9*F9/1000)+(M9*D9*F9/1000)))</f>
        <v>0</v>
      </c>
      <c r="U9" s="70">
        <f t="shared" ref="U9:U73" si="7">IF(Q9=0, M9*D9*F9/1000, 0)</f>
        <v>0</v>
      </c>
      <c r="V9" s="70">
        <f t="shared" ref="V9:V73" si="8">D9*F9/1000</f>
        <v>0</v>
      </c>
      <c r="W9" s="345">
        <f t="shared" ref="W9:W73" si="9">IF(Q9=0,D9*F9/1000*J9+D9*F9/1000*N9,(J9*D9*F9/1000)+(N9*D9*F9/1000))</f>
        <v>0</v>
      </c>
      <c r="X9" s="345">
        <f t="shared" ref="X9:X73" si="10">IF(Q9=0,D9*F9/1000*K9+D9*F9/1000*O9,(K9*D9*F9/1000)+(O9*D9*F9/1000))</f>
        <v>0</v>
      </c>
      <c r="Y9" s="85"/>
      <c r="Z9" s="85">
        <v>0.4</v>
      </c>
      <c r="AA9" s="85">
        <v>0</v>
      </c>
      <c r="AB9" s="86">
        <f t="shared" si="0"/>
        <v>0</v>
      </c>
      <c r="AC9" s="86">
        <f t="shared" si="1"/>
        <v>0</v>
      </c>
    </row>
    <row r="10" spans="1:29" ht="21" x14ac:dyDescent="0.25">
      <c r="A10" s="85" t="s">
        <v>259</v>
      </c>
      <c r="B10" s="85" t="s">
        <v>71</v>
      </c>
      <c r="C10" s="85" t="s">
        <v>129</v>
      </c>
      <c r="D10" s="111"/>
      <c r="E10" s="111"/>
      <c r="F10" s="85">
        <v>100</v>
      </c>
      <c r="G10" s="85"/>
      <c r="H10" s="85"/>
      <c r="I10" s="85"/>
      <c r="J10" s="85"/>
      <c r="K10" s="85"/>
      <c r="L10" s="85">
        <v>41</v>
      </c>
      <c r="M10" s="85">
        <v>120</v>
      </c>
      <c r="N10" s="85">
        <v>48</v>
      </c>
      <c r="O10" s="85">
        <v>127.2</v>
      </c>
      <c r="P10" s="85">
        <f t="shared" si="2"/>
        <v>120</v>
      </c>
      <c r="Q10" s="50">
        <f t="shared" si="3"/>
        <v>0</v>
      </c>
      <c r="R10" s="70">
        <f t="shared" si="4"/>
        <v>0</v>
      </c>
      <c r="S10" s="70">
        <f t="shared" si="5"/>
        <v>0</v>
      </c>
      <c r="T10" s="70">
        <f t="shared" si="6"/>
        <v>0</v>
      </c>
      <c r="U10" s="70">
        <f t="shared" si="7"/>
        <v>0</v>
      </c>
      <c r="V10" s="70">
        <f t="shared" si="8"/>
        <v>0</v>
      </c>
      <c r="W10" s="345">
        <f t="shared" si="9"/>
        <v>0</v>
      </c>
      <c r="X10" s="345">
        <f t="shared" si="10"/>
        <v>0</v>
      </c>
      <c r="Y10" s="85"/>
      <c r="Z10" s="85">
        <v>0.4</v>
      </c>
      <c r="AA10" s="85">
        <v>0</v>
      </c>
      <c r="AB10" s="86">
        <f t="shared" si="0"/>
        <v>0</v>
      </c>
      <c r="AC10" s="86">
        <f t="shared" si="1"/>
        <v>0</v>
      </c>
    </row>
    <row r="11" spans="1:29" x14ac:dyDescent="0.25">
      <c r="A11" s="85" t="s">
        <v>244</v>
      </c>
      <c r="B11" s="85" t="s">
        <v>71</v>
      </c>
      <c r="C11" s="85" t="s">
        <v>56</v>
      </c>
      <c r="D11" s="111"/>
      <c r="E11" s="111"/>
      <c r="F11" s="85">
        <v>220</v>
      </c>
      <c r="G11" s="85"/>
      <c r="H11" s="85">
        <v>4.3</v>
      </c>
      <c r="I11" s="85">
        <v>22.3</v>
      </c>
      <c r="J11" s="85">
        <v>8.9</v>
      </c>
      <c r="K11" s="85">
        <v>18.2</v>
      </c>
      <c r="L11" s="85">
        <v>25.7</v>
      </c>
      <c r="M11" s="85">
        <v>80.7</v>
      </c>
      <c r="N11" s="85">
        <v>32.299999999999997</v>
      </c>
      <c r="O11" s="85">
        <v>108.8</v>
      </c>
      <c r="P11" s="85">
        <f t="shared" si="2"/>
        <v>103</v>
      </c>
      <c r="Q11" s="50">
        <f t="shared" si="3"/>
        <v>0</v>
      </c>
      <c r="R11" s="70">
        <f t="shared" si="4"/>
        <v>0</v>
      </c>
      <c r="S11" s="70">
        <f t="shared" si="5"/>
        <v>0</v>
      </c>
      <c r="T11" s="70">
        <f t="shared" si="6"/>
        <v>0</v>
      </c>
      <c r="U11" s="70">
        <f t="shared" si="7"/>
        <v>0</v>
      </c>
      <c r="V11" s="70">
        <f t="shared" si="8"/>
        <v>0</v>
      </c>
      <c r="W11" s="345">
        <f t="shared" si="9"/>
        <v>0</v>
      </c>
      <c r="X11" s="345">
        <f t="shared" si="10"/>
        <v>0</v>
      </c>
      <c r="Y11" s="85"/>
      <c r="Z11" s="85">
        <v>0.6</v>
      </c>
      <c r="AA11" s="85">
        <v>0.6</v>
      </c>
      <c r="AB11" s="86">
        <f t="shared" si="0"/>
        <v>0</v>
      </c>
      <c r="AC11" s="86">
        <f t="shared" si="1"/>
        <v>0</v>
      </c>
    </row>
    <row r="12" spans="1:29" ht="21" x14ac:dyDescent="0.25">
      <c r="A12" s="85" t="s">
        <v>244</v>
      </c>
      <c r="B12" s="85" t="s">
        <v>71</v>
      </c>
      <c r="C12" s="85" t="s">
        <v>127</v>
      </c>
      <c r="D12" s="111"/>
      <c r="E12" s="111"/>
      <c r="F12" s="85">
        <v>220</v>
      </c>
      <c r="G12" s="85"/>
      <c r="H12" s="85"/>
      <c r="I12" s="85"/>
      <c r="J12" s="85"/>
      <c r="K12" s="85"/>
      <c r="L12" s="85">
        <v>30</v>
      </c>
      <c r="M12" s="85">
        <v>103</v>
      </c>
      <c r="N12" s="85">
        <v>41.2</v>
      </c>
      <c r="O12" s="85">
        <v>127</v>
      </c>
      <c r="P12" s="85">
        <f t="shared" si="2"/>
        <v>103</v>
      </c>
      <c r="Q12" s="50">
        <f t="shared" si="3"/>
        <v>0</v>
      </c>
      <c r="R12" s="70">
        <f t="shared" si="4"/>
        <v>0</v>
      </c>
      <c r="S12" s="70">
        <f t="shared" si="5"/>
        <v>0</v>
      </c>
      <c r="T12" s="70">
        <f t="shared" si="6"/>
        <v>0</v>
      </c>
      <c r="U12" s="70">
        <f t="shared" si="7"/>
        <v>0</v>
      </c>
      <c r="V12" s="70">
        <f t="shared" si="8"/>
        <v>0</v>
      </c>
      <c r="W12" s="345">
        <f t="shared" si="9"/>
        <v>0</v>
      </c>
      <c r="X12" s="345">
        <f t="shared" si="10"/>
        <v>0</v>
      </c>
      <c r="Y12" s="85"/>
      <c r="Z12" s="85">
        <v>0.6</v>
      </c>
      <c r="AA12" s="85">
        <v>0.6</v>
      </c>
      <c r="AB12" s="86">
        <f t="shared" si="0"/>
        <v>0</v>
      </c>
      <c r="AC12" s="86">
        <f t="shared" si="1"/>
        <v>0</v>
      </c>
    </row>
    <row r="13" spans="1:29" ht="21" x14ac:dyDescent="0.25">
      <c r="A13" s="85" t="s">
        <v>244</v>
      </c>
      <c r="B13" s="85" t="s">
        <v>71</v>
      </c>
      <c r="C13" s="85" t="s">
        <v>59</v>
      </c>
      <c r="D13" s="111"/>
      <c r="E13" s="111"/>
      <c r="F13" s="85">
        <v>220</v>
      </c>
      <c r="G13" s="85"/>
      <c r="H13" s="85">
        <v>3.3</v>
      </c>
      <c r="I13" s="85">
        <v>14.6</v>
      </c>
      <c r="J13" s="85">
        <v>5.8</v>
      </c>
      <c r="K13" s="85">
        <v>14.7</v>
      </c>
      <c r="L13" s="85">
        <v>26.3</v>
      </c>
      <c r="M13" s="85">
        <v>88.4</v>
      </c>
      <c r="N13" s="85">
        <v>35.4</v>
      </c>
      <c r="O13" s="85">
        <v>112.3</v>
      </c>
      <c r="P13" s="85">
        <f t="shared" si="2"/>
        <v>103</v>
      </c>
      <c r="Q13" s="50">
        <f t="shared" si="3"/>
        <v>0</v>
      </c>
      <c r="R13" s="70">
        <f t="shared" si="4"/>
        <v>0</v>
      </c>
      <c r="S13" s="70">
        <f t="shared" si="5"/>
        <v>0</v>
      </c>
      <c r="T13" s="70">
        <f t="shared" si="6"/>
        <v>0</v>
      </c>
      <c r="U13" s="70">
        <f t="shared" si="7"/>
        <v>0</v>
      </c>
      <c r="V13" s="70">
        <f t="shared" si="8"/>
        <v>0</v>
      </c>
      <c r="W13" s="345">
        <f t="shared" si="9"/>
        <v>0</v>
      </c>
      <c r="X13" s="345">
        <f t="shared" si="10"/>
        <v>0</v>
      </c>
      <c r="Y13" s="85"/>
      <c r="Z13" s="85">
        <v>0.6</v>
      </c>
      <c r="AA13" s="85">
        <v>0.6</v>
      </c>
      <c r="AB13" s="86">
        <f t="shared" si="0"/>
        <v>0</v>
      </c>
      <c r="AC13" s="86">
        <f t="shared" si="1"/>
        <v>0</v>
      </c>
    </row>
    <row r="14" spans="1:29" ht="21" x14ac:dyDescent="0.25">
      <c r="A14" s="85" t="s">
        <v>244</v>
      </c>
      <c r="B14" s="85" t="s">
        <v>71</v>
      </c>
      <c r="C14" s="85" t="s">
        <v>128</v>
      </c>
      <c r="D14" s="111"/>
      <c r="E14" s="111"/>
      <c r="F14" s="85">
        <v>220</v>
      </c>
      <c r="G14" s="85"/>
      <c r="H14" s="85"/>
      <c r="I14" s="85"/>
      <c r="J14" s="85"/>
      <c r="K14" s="85"/>
      <c r="L14" s="85">
        <v>29.6</v>
      </c>
      <c r="M14" s="85">
        <v>103</v>
      </c>
      <c r="N14" s="85">
        <v>41.2</v>
      </c>
      <c r="O14" s="85">
        <v>127</v>
      </c>
      <c r="P14" s="85">
        <f t="shared" si="2"/>
        <v>103</v>
      </c>
      <c r="Q14" s="50">
        <f t="shared" si="3"/>
        <v>0</v>
      </c>
      <c r="R14" s="70">
        <f t="shared" si="4"/>
        <v>0</v>
      </c>
      <c r="S14" s="70">
        <f t="shared" si="5"/>
        <v>0</v>
      </c>
      <c r="T14" s="70">
        <f t="shared" si="6"/>
        <v>0</v>
      </c>
      <c r="U14" s="70">
        <f t="shared" si="7"/>
        <v>0</v>
      </c>
      <c r="V14" s="70">
        <f t="shared" si="8"/>
        <v>0</v>
      </c>
      <c r="W14" s="345">
        <f t="shared" si="9"/>
        <v>0</v>
      </c>
      <c r="X14" s="345">
        <f t="shared" si="10"/>
        <v>0</v>
      </c>
      <c r="Y14" s="85"/>
      <c r="Z14" s="85">
        <v>0.6</v>
      </c>
      <c r="AA14" s="85">
        <v>0.6</v>
      </c>
      <c r="AB14" s="86">
        <f t="shared" si="0"/>
        <v>0</v>
      </c>
      <c r="AC14" s="86">
        <f t="shared" si="1"/>
        <v>0</v>
      </c>
    </row>
    <row r="15" spans="1:29" ht="21" x14ac:dyDescent="0.25">
      <c r="A15" s="85" t="s">
        <v>244</v>
      </c>
      <c r="B15" s="85" t="s">
        <v>71</v>
      </c>
      <c r="C15" s="85" t="s">
        <v>46</v>
      </c>
      <c r="D15" s="111"/>
      <c r="E15" s="111"/>
      <c r="F15" s="85">
        <v>220</v>
      </c>
      <c r="G15" s="85"/>
      <c r="H15" s="85">
        <v>13.7</v>
      </c>
      <c r="I15" s="85">
        <v>60.7</v>
      </c>
      <c r="J15" s="85">
        <v>24.3</v>
      </c>
      <c r="K15" s="85">
        <v>68</v>
      </c>
      <c r="L15" s="85">
        <v>12</v>
      </c>
      <c r="M15" s="85">
        <v>42.3</v>
      </c>
      <c r="N15" s="85">
        <v>16.899999999999999</v>
      </c>
      <c r="O15" s="85">
        <v>59</v>
      </c>
      <c r="P15" s="85">
        <f t="shared" si="2"/>
        <v>103</v>
      </c>
      <c r="Q15" s="50">
        <f t="shared" si="3"/>
        <v>0</v>
      </c>
      <c r="R15" s="70">
        <f t="shared" si="4"/>
        <v>0</v>
      </c>
      <c r="S15" s="70">
        <f t="shared" si="5"/>
        <v>0</v>
      </c>
      <c r="T15" s="70">
        <f t="shared" si="6"/>
        <v>0</v>
      </c>
      <c r="U15" s="70">
        <f t="shared" si="7"/>
        <v>0</v>
      </c>
      <c r="V15" s="70">
        <f t="shared" si="8"/>
        <v>0</v>
      </c>
      <c r="W15" s="345">
        <f t="shared" si="9"/>
        <v>0</v>
      </c>
      <c r="X15" s="345">
        <f t="shared" si="10"/>
        <v>0</v>
      </c>
      <c r="Y15" s="85"/>
      <c r="Z15" s="85">
        <v>0.6</v>
      </c>
      <c r="AA15" s="85">
        <v>0.6</v>
      </c>
      <c r="AB15" s="86">
        <f t="shared" si="0"/>
        <v>0</v>
      </c>
      <c r="AC15" s="86">
        <f t="shared" si="1"/>
        <v>0</v>
      </c>
    </row>
    <row r="16" spans="1:29" ht="21" x14ac:dyDescent="0.25">
      <c r="A16" s="85" t="s">
        <v>244</v>
      </c>
      <c r="B16" s="85" t="s">
        <v>71</v>
      </c>
      <c r="C16" s="85" t="s">
        <v>47</v>
      </c>
      <c r="D16" s="111"/>
      <c r="E16" s="111"/>
      <c r="F16" s="85">
        <v>220</v>
      </c>
      <c r="G16" s="85"/>
      <c r="H16" s="85">
        <v>7.7</v>
      </c>
      <c r="I16" s="85">
        <v>34</v>
      </c>
      <c r="J16" s="85">
        <v>13.6</v>
      </c>
      <c r="K16" s="85">
        <v>37.5</v>
      </c>
      <c r="L16" s="85">
        <v>18.7</v>
      </c>
      <c r="M16" s="85">
        <v>69</v>
      </c>
      <c r="N16" s="85">
        <v>27.6</v>
      </c>
      <c r="O16" s="85">
        <v>89.5</v>
      </c>
      <c r="P16" s="85">
        <f t="shared" si="2"/>
        <v>103</v>
      </c>
      <c r="Q16" s="50">
        <f t="shared" si="3"/>
        <v>0</v>
      </c>
      <c r="R16" s="70">
        <f t="shared" si="4"/>
        <v>0</v>
      </c>
      <c r="S16" s="70">
        <f t="shared" si="5"/>
        <v>0</v>
      </c>
      <c r="T16" s="70">
        <f t="shared" si="6"/>
        <v>0</v>
      </c>
      <c r="U16" s="70">
        <f t="shared" si="7"/>
        <v>0</v>
      </c>
      <c r="V16" s="70">
        <f t="shared" si="8"/>
        <v>0</v>
      </c>
      <c r="W16" s="345">
        <f t="shared" si="9"/>
        <v>0</v>
      </c>
      <c r="X16" s="345">
        <f t="shared" si="10"/>
        <v>0</v>
      </c>
      <c r="Y16" s="85"/>
      <c r="Z16" s="85">
        <v>0.6</v>
      </c>
      <c r="AA16" s="85">
        <v>0.6</v>
      </c>
      <c r="AB16" s="86">
        <f t="shared" si="0"/>
        <v>0</v>
      </c>
      <c r="AC16" s="86">
        <f t="shared" si="1"/>
        <v>0</v>
      </c>
    </row>
    <row r="17" spans="1:29" ht="21" x14ac:dyDescent="0.25">
      <c r="A17" s="85" t="s">
        <v>244</v>
      </c>
      <c r="B17" s="85" t="s">
        <v>71</v>
      </c>
      <c r="C17" s="85" t="s">
        <v>45</v>
      </c>
      <c r="D17" s="111"/>
      <c r="E17" s="111"/>
      <c r="F17" s="85">
        <v>220</v>
      </c>
      <c r="G17" s="85"/>
      <c r="H17" s="85">
        <v>22.3</v>
      </c>
      <c r="I17" s="85">
        <v>103</v>
      </c>
      <c r="J17" s="85">
        <v>41.2</v>
      </c>
      <c r="K17" s="85">
        <v>127</v>
      </c>
      <c r="L17" s="85"/>
      <c r="M17" s="85"/>
      <c r="N17" s="85"/>
      <c r="O17" s="85"/>
      <c r="P17" s="85">
        <f t="shared" si="2"/>
        <v>103</v>
      </c>
      <c r="Q17" s="50">
        <f t="shared" si="3"/>
        <v>0</v>
      </c>
      <c r="R17" s="70">
        <f t="shared" si="4"/>
        <v>0</v>
      </c>
      <c r="S17" s="70">
        <f t="shared" si="5"/>
        <v>0</v>
      </c>
      <c r="T17" s="70">
        <f t="shared" si="6"/>
        <v>0</v>
      </c>
      <c r="U17" s="70">
        <f t="shared" si="7"/>
        <v>0</v>
      </c>
      <c r="V17" s="70">
        <f t="shared" si="8"/>
        <v>0</v>
      </c>
      <c r="W17" s="345">
        <f t="shared" si="9"/>
        <v>0</v>
      </c>
      <c r="X17" s="345">
        <f t="shared" si="10"/>
        <v>0</v>
      </c>
      <c r="Y17" s="85"/>
      <c r="Z17" s="85">
        <v>0.6</v>
      </c>
      <c r="AA17" s="85">
        <v>0.6</v>
      </c>
      <c r="AB17" s="86">
        <f t="shared" si="0"/>
        <v>0</v>
      </c>
      <c r="AC17" s="86">
        <f t="shared" si="1"/>
        <v>0</v>
      </c>
    </row>
    <row r="18" spans="1:29" x14ac:dyDescent="0.25">
      <c r="A18" s="85" t="s">
        <v>244</v>
      </c>
      <c r="B18" s="85" t="s">
        <v>71</v>
      </c>
      <c r="C18" s="85" t="s">
        <v>57</v>
      </c>
      <c r="D18" s="111"/>
      <c r="E18" s="111"/>
      <c r="F18" s="85">
        <v>220</v>
      </c>
      <c r="G18" s="85"/>
      <c r="H18" s="85">
        <v>22</v>
      </c>
      <c r="I18" s="85">
        <v>103</v>
      </c>
      <c r="J18" s="85">
        <v>41.2</v>
      </c>
      <c r="K18" s="85">
        <v>127</v>
      </c>
      <c r="L18" s="85"/>
      <c r="M18" s="85"/>
      <c r="N18" s="85"/>
      <c r="O18" s="85"/>
      <c r="P18" s="85">
        <f t="shared" si="2"/>
        <v>103</v>
      </c>
      <c r="Q18" s="50">
        <f t="shared" si="3"/>
        <v>0</v>
      </c>
      <c r="R18" s="70">
        <f t="shared" si="4"/>
        <v>0</v>
      </c>
      <c r="S18" s="70">
        <f t="shared" si="5"/>
        <v>0</v>
      </c>
      <c r="T18" s="70">
        <f t="shared" si="6"/>
        <v>0</v>
      </c>
      <c r="U18" s="70">
        <f t="shared" si="7"/>
        <v>0</v>
      </c>
      <c r="V18" s="70">
        <f t="shared" si="8"/>
        <v>0</v>
      </c>
      <c r="W18" s="345">
        <f t="shared" si="9"/>
        <v>0</v>
      </c>
      <c r="X18" s="345">
        <f t="shared" si="10"/>
        <v>0</v>
      </c>
      <c r="Y18" s="85"/>
      <c r="Z18" s="85">
        <v>0.6</v>
      </c>
      <c r="AA18" s="85">
        <v>0.6</v>
      </c>
      <c r="AB18" s="86">
        <f t="shared" si="0"/>
        <v>0</v>
      </c>
      <c r="AC18" s="86">
        <f t="shared" si="1"/>
        <v>0</v>
      </c>
    </row>
    <row r="19" spans="1:29" ht="21" x14ac:dyDescent="0.25">
      <c r="A19" s="85" t="s">
        <v>244</v>
      </c>
      <c r="B19" s="85" t="s">
        <v>71</v>
      </c>
      <c r="C19" s="85" t="s">
        <v>49</v>
      </c>
      <c r="D19" s="111"/>
      <c r="E19" s="111"/>
      <c r="F19" s="85">
        <v>220</v>
      </c>
      <c r="G19" s="85"/>
      <c r="H19" s="85">
        <v>3.3</v>
      </c>
      <c r="I19" s="85">
        <v>14.6</v>
      </c>
      <c r="J19" s="85">
        <v>5.8</v>
      </c>
      <c r="K19" s="85">
        <v>11.9</v>
      </c>
      <c r="L19" s="85">
        <v>33</v>
      </c>
      <c r="M19" s="85">
        <v>88.4</v>
      </c>
      <c r="N19" s="85">
        <v>35.4</v>
      </c>
      <c r="O19" s="85">
        <v>115.1</v>
      </c>
      <c r="P19" s="85">
        <f t="shared" si="2"/>
        <v>103</v>
      </c>
      <c r="Q19" s="50">
        <f t="shared" si="3"/>
        <v>0</v>
      </c>
      <c r="R19" s="70">
        <f t="shared" si="4"/>
        <v>0</v>
      </c>
      <c r="S19" s="70">
        <f t="shared" si="5"/>
        <v>0</v>
      </c>
      <c r="T19" s="70">
        <f t="shared" si="6"/>
        <v>0</v>
      </c>
      <c r="U19" s="70">
        <f t="shared" si="7"/>
        <v>0</v>
      </c>
      <c r="V19" s="70">
        <f t="shared" si="8"/>
        <v>0</v>
      </c>
      <c r="W19" s="345">
        <f t="shared" si="9"/>
        <v>0</v>
      </c>
      <c r="X19" s="345">
        <f t="shared" si="10"/>
        <v>0</v>
      </c>
      <c r="Y19" s="85"/>
      <c r="Z19" s="85">
        <v>0.6</v>
      </c>
      <c r="AA19" s="85">
        <v>0.6</v>
      </c>
      <c r="AB19" s="86">
        <f t="shared" si="0"/>
        <v>0</v>
      </c>
      <c r="AC19" s="86">
        <f t="shared" si="1"/>
        <v>0</v>
      </c>
    </row>
    <row r="20" spans="1:29" ht="21" x14ac:dyDescent="0.25">
      <c r="A20" s="85" t="s">
        <v>244</v>
      </c>
      <c r="B20" s="85" t="s">
        <v>71</v>
      </c>
      <c r="C20" s="85" t="s">
        <v>126</v>
      </c>
      <c r="D20" s="111"/>
      <c r="E20" s="111"/>
      <c r="F20" s="85">
        <v>220</v>
      </c>
      <c r="G20" s="85"/>
      <c r="H20" s="85"/>
      <c r="I20" s="85"/>
      <c r="J20" s="85"/>
      <c r="K20" s="85"/>
      <c r="L20" s="85">
        <v>36.299999999999997</v>
      </c>
      <c r="M20" s="85">
        <v>103</v>
      </c>
      <c r="N20" s="85">
        <v>41.2</v>
      </c>
      <c r="O20" s="85">
        <v>127</v>
      </c>
      <c r="P20" s="85">
        <f t="shared" si="2"/>
        <v>103</v>
      </c>
      <c r="Q20" s="50">
        <f t="shared" si="3"/>
        <v>0</v>
      </c>
      <c r="R20" s="70">
        <f t="shared" si="4"/>
        <v>0</v>
      </c>
      <c r="S20" s="70">
        <f t="shared" si="5"/>
        <v>0</v>
      </c>
      <c r="T20" s="70">
        <f t="shared" si="6"/>
        <v>0</v>
      </c>
      <c r="U20" s="70">
        <f t="shared" si="7"/>
        <v>0</v>
      </c>
      <c r="V20" s="70">
        <f t="shared" si="8"/>
        <v>0</v>
      </c>
      <c r="W20" s="345">
        <f t="shared" si="9"/>
        <v>0</v>
      </c>
      <c r="X20" s="345">
        <f t="shared" si="10"/>
        <v>0</v>
      </c>
      <c r="Y20" s="85"/>
      <c r="Z20" s="85">
        <v>0.6</v>
      </c>
      <c r="AA20" s="85">
        <v>0.6</v>
      </c>
      <c r="AB20" s="86">
        <f t="shared" si="0"/>
        <v>0</v>
      </c>
      <c r="AC20" s="86">
        <f t="shared" si="1"/>
        <v>0</v>
      </c>
    </row>
    <row r="21" spans="1:29" ht="21" x14ac:dyDescent="0.25">
      <c r="A21" s="335" t="s">
        <v>244</v>
      </c>
      <c r="B21" s="335" t="s">
        <v>71</v>
      </c>
      <c r="C21" s="335" t="s">
        <v>58</v>
      </c>
      <c r="D21" s="111"/>
      <c r="E21" s="111"/>
      <c r="F21" s="85">
        <v>220</v>
      </c>
      <c r="G21" s="85"/>
      <c r="H21" s="85">
        <v>11.3</v>
      </c>
      <c r="I21" s="85">
        <v>52.3</v>
      </c>
      <c r="J21" s="85">
        <v>20.9</v>
      </c>
      <c r="K21" s="85">
        <v>40.9</v>
      </c>
      <c r="L21" s="85">
        <v>23.7</v>
      </c>
      <c r="M21" s="335">
        <v>50.7</v>
      </c>
      <c r="N21" s="335">
        <v>20.3</v>
      </c>
      <c r="O21" s="85">
        <v>86.1</v>
      </c>
      <c r="P21" s="85">
        <f t="shared" si="2"/>
        <v>103</v>
      </c>
      <c r="Q21" s="50">
        <f t="shared" si="3"/>
        <v>0</v>
      </c>
      <c r="R21" s="70">
        <f t="shared" si="4"/>
        <v>0</v>
      </c>
      <c r="S21" s="70">
        <f t="shared" si="5"/>
        <v>0</v>
      </c>
      <c r="T21" s="70">
        <f t="shared" si="6"/>
        <v>0</v>
      </c>
      <c r="U21" s="70">
        <f t="shared" si="7"/>
        <v>0</v>
      </c>
      <c r="V21" s="70">
        <f t="shared" si="8"/>
        <v>0</v>
      </c>
      <c r="W21" s="345">
        <f t="shared" si="9"/>
        <v>0</v>
      </c>
      <c r="X21" s="345">
        <f t="shared" si="10"/>
        <v>0</v>
      </c>
      <c r="Y21" s="85"/>
      <c r="Z21" s="85">
        <v>0.6</v>
      </c>
      <c r="AA21" s="85">
        <v>0.6</v>
      </c>
      <c r="AB21" s="86">
        <f t="shared" si="0"/>
        <v>0</v>
      </c>
      <c r="AC21" s="86">
        <f t="shared" si="1"/>
        <v>0</v>
      </c>
    </row>
    <row r="22" spans="1:29" ht="21" x14ac:dyDescent="0.25">
      <c r="A22" s="335" t="s">
        <v>233</v>
      </c>
      <c r="B22" s="335" t="s">
        <v>71</v>
      </c>
      <c r="C22" s="335" t="s">
        <v>56</v>
      </c>
      <c r="D22" s="111"/>
      <c r="E22" s="111"/>
      <c r="F22" s="85">
        <v>425</v>
      </c>
      <c r="G22" s="85"/>
      <c r="H22" s="85">
        <v>4.3</v>
      </c>
      <c r="I22" s="85">
        <v>22.3</v>
      </c>
      <c r="J22" s="85">
        <v>8.9</v>
      </c>
      <c r="K22" s="85">
        <v>18.2</v>
      </c>
      <c r="L22" s="85">
        <v>25.7</v>
      </c>
      <c r="M22" s="85">
        <v>80.7</v>
      </c>
      <c r="N22" s="85">
        <v>32.299999999999997</v>
      </c>
      <c r="O22" s="85">
        <v>108.8</v>
      </c>
      <c r="P22" s="335">
        <f t="shared" si="2"/>
        <v>103</v>
      </c>
      <c r="Q22" s="50">
        <f t="shared" si="3"/>
        <v>0</v>
      </c>
      <c r="R22" s="70">
        <f t="shared" si="4"/>
        <v>0</v>
      </c>
      <c r="S22" s="70">
        <f t="shared" si="5"/>
        <v>0</v>
      </c>
      <c r="T22" s="70">
        <f t="shared" si="6"/>
        <v>0</v>
      </c>
      <c r="U22" s="70">
        <f t="shared" si="7"/>
        <v>0</v>
      </c>
      <c r="V22" s="70">
        <f t="shared" si="8"/>
        <v>0</v>
      </c>
      <c r="W22" s="345">
        <f t="shared" si="9"/>
        <v>0</v>
      </c>
      <c r="X22" s="345">
        <f t="shared" si="10"/>
        <v>0</v>
      </c>
      <c r="Y22" s="85"/>
      <c r="Z22" s="85">
        <v>0.6</v>
      </c>
      <c r="AA22" s="85">
        <v>0.6</v>
      </c>
      <c r="AB22" s="86">
        <f t="shared" si="0"/>
        <v>0</v>
      </c>
      <c r="AC22" s="86">
        <f t="shared" si="1"/>
        <v>0</v>
      </c>
    </row>
    <row r="23" spans="1:29" ht="21" x14ac:dyDescent="0.25">
      <c r="A23" s="85" t="s">
        <v>233</v>
      </c>
      <c r="B23" s="85" t="s">
        <v>71</v>
      </c>
      <c r="C23" s="85" t="s">
        <v>127</v>
      </c>
      <c r="D23" s="111"/>
      <c r="E23" s="111"/>
      <c r="F23" s="85">
        <v>425</v>
      </c>
      <c r="G23" s="85"/>
      <c r="H23" s="85"/>
      <c r="I23" s="85"/>
      <c r="J23" s="85"/>
      <c r="K23" s="85"/>
      <c r="L23" s="85">
        <v>26.7</v>
      </c>
      <c r="M23" s="85">
        <v>120</v>
      </c>
      <c r="N23" s="85">
        <v>48</v>
      </c>
      <c r="O23" s="85">
        <v>127</v>
      </c>
      <c r="P23" s="85">
        <f t="shared" si="2"/>
        <v>120</v>
      </c>
      <c r="Q23" s="50">
        <f t="shared" si="3"/>
        <v>0</v>
      </c>
      <c r="R23" s="70">
        <f t="shared" si="4"/>
        <v>0</v>
      </c>
      <c r="S23" s="70">
        <f t="shared" si="5"/>
        <v>0</v>
      </c>
      <c r="T23" s="70">
        <f t="shared" si="6"/>
        <v>0</v>
      </c>
      <c r="U23" s="70">
        <f t="shared" si="7"/>
        <v>0</v>
      </c>
      <c r="V23" s="70">
        <f t="shared" si="8"/>
        <v>0</v>
      </c>
      <c r="W23" s="345">
        <f t="shared" si="9"/>
        <v>0</v>
      </c>
      <c r="X23" s="345">
        <f t="shared" si="10"/>
        <v>0</v>
      </c>
      <c r="Y23" s="85"/>
      <c r="Z23" s="85">
        <v>0.6</v>
      </c>
      <c r="AA23" s="85">
        <v>0.6</v>
      </c>
      <c r="AB23" s="86">
        <f t="shared" si="0"/>
        <v>0</v>
      </c>
      <c r="AC23" s="86">
        <f t="shared" si="1"/>
        <v>0</v>
      </c>
    </row>
    <row r="24" spans="1:29" ht="21" x14ac:dyDescent="0.25">
      <c r="A24" s="85" t="s">
        <v>233</v>
      </c>
      <c r="B24" s="85" t="s">
        <v>71</v>
      </c>
      <c r="C24" s="85" t="s">
        <v>59</v>
      </c>
      <c r="D24" s="111"/>
      <c r="E24" s="111"/>
      <c r="F24" s="85">
        <v>425</v>
      </c>
      <c r="G24" s="85"/>
      <c r="H24" s="85">
        <v>2.8</v>
      </c>
      <c r="I24" s="85">
        <v>17</v>
      </c>
      <c r="J24" s="85">
        <v>6.8</v>
      </c>
      <c r="K24" s="85">
        <v>14.7</v>
      </c>
      <c r="L24" s="85">
        <v>24</v>
      </c>
      <c r="M24" s="85">
        <v>103</v>
      </c>
      <c r="N24" s="85">
        <v>41.2</v>
      </c>
      <c r="O24" s="85">
        <v>112.3</v>
      </c>
      <c r="P24" s="85">
        <f t="shared" si="2"/>
        <v>120</v>
      </c>
      <c r="Q24" s="50">
        <f t="shared" si="3"/>
        <v>0</v>
      </c>
      <c r="R24" s="70">
        <f t="shared" si="4"/>
        <v>0</v>
      </c>
      <c r="S24" s="70">
        <f t="shared" si="5"/>
        <v>0</v>
      </c>
      <c r="T24" s="70">
        <f t="shared" si="6"/>
        <v>0</v>
      </c>
      <c r="U24" s="70">
        <f t="shared" si="7"/>
        <v>0</v>
      </c>
      <c r="V24" s="70">
        <f t="shared" si="8"/>
        <v>0</v>
      </c>
      <c r="W24" s="345">
        <f t="shared" si="9"/>
        <v>0</v>
      </c>
      <c r="X24" s="345">
        <f t="shared" si="10"/>
        <v>0</v>
      </c>
      <c r="Y24" s="85"/>
      <c r="Z24" s="85">
        <v>0.6</v>
      </c>
      <c r="AA24" s="85">
        <v>0.6</v>
      </c>
      <c r="AB24" s="86">
        <f t="shared" si="0"/>
        <v>0</v>
      </c>
      <c r="AC24" s="86">
        <f t="shared" si="1"/>
        <v>0</v>
      </c>
    </row>
    <row r="25" spans="1:29" ht="21" x14ac:dyDescent="0.25">
      <c r="A25" s="85" t="s">
        <v>233</v>
      </c>
      <c r="B25" s="85" t="s">
        <v>71</v>
      </c>
      <c r="C25" s="85" t="s">
        <v>128</v>
      </c>
      <c r="D25" s="111"/>
      <c r="E25" s="111"/>
      <c r="F25" s="85">
        <v>425</v>
      </c>
      <c r="G25" s="85"/>
      <c r="H25" s="85"/>
      <c r="I25" s="85"/>
      <c r="J25" s="85"/>
      <c r="K25" s="85"/>
      <c r="L25" s="85">
        <v>26.8</v>
      </c>
      <c r="M25" s="85">
        <v>120</v>
      </c>
      <c r="N25" s="85">
        <v>48</v>
      </c>
      <c r="O25" s="85">
        <v>127</v>
      </c>
      <c r="P25" s="85">
        <f t="shared" si="2"/>
        <v>120</v>
      </c>
      <c r="Q25" s="50">
        <f t="shared" si="3"/>
        <v>0</v>
      </c>
      <c r="R25" s="70">
        <f t="shared" si="4"/>
        <v>0</v>
      </c>
      <c r="S25" s="70">
        <f t="shared" si="5"/>
        <v>0</v>
      </c>
      <c r="T25" s="70">
        <f t="shared" si="6"/>
        <v>0</v>
      </c>
      <c r="U25" s="70">
        <f t="shared" si="7"/>
        <v>0</v>
      </c>
      <c r="V25" s="70">
        <f t="shared" si="8"/>
        <v>0</v>
      </c>
      <c r="W25" s="345">
        <f t="shared" si="9"/>
        <v>0</v>
      </c>
      <c r="X25" s="345">
        <f t="shared" si="10"/>
        <v>0</v>
      </c>
      <c r="Y25" s="85"/>
      <c r="Z25" s="85">
        <v>0.6</v>
      </c>
      <c r="AA25" s="85">
        <v>0.6</v>
      </c>
      <c r="AB25" s="86">
        <f t="shared" si="0"/>
        <v>0</v>
      </c>
      <c r="AC25" s="86">
        <f t="shared" si="1"/>
        <v>0</v>
      </c>
    </row>
    <row r="26" spans="1:29" ht="21" x14ac:dyDescent="0.25">
      <c r="A26" s="85" t="s">
        <v>233</v>
      </c>
      <c r="B26" s="85" t="s">
        <v>71</v>
      </c>
      <c r="C26" s="85" t="s">
        <v>46</v>
      </c>
      <c r="D26" s="111"/>
      <c r="E26" s="111"/>
      <c r="F26" s="85">
        <v>425</v>
      </c>
      <c r="G26" s="85"/>
      <c r="H26" s="85">
        <v>16</v>
      </c>
      <c r="I26" s="85">
        <v>61</v>
      </c>
      <c r="J26" s="85">
        <v>24.4</v>
      </c>
      <c r="K26" s="85">
        <v>68</v>
      </c>
      <c r="L26" s="85">
        <v>13.9</v>
      </c>
      <c r="M26" s="85">
        <v>59</v>
      </c>
      <c r="N26" s="85">
        <v>23.6</v>
      </c>
      <c r="O26" s="85">
        <v>59</v>
      </c>
      <c r="P26" s="85">
        <f t="shared" si="2"/>
        <v>120</v>
      </c>
      <c r="Q26" s="50">
        <f t="shared" si="3"/>
        <v>0</v>
      </c>
      <c r="R26" s="70">
        <f t="shared" si="4"/>
        <v>0</v>
      </c>
      <c r="S26" s="70">
        <f t="shared" si="5"/>
        <v>0</v>
      </c>
      <c r="T26" s="70">
        <f t="shared" si="6"/>
        <v>0</v>
      </c>
      <c r="U26" s="70">
        <f t="shared" si="7"/>
        <v>0</v>
      </c>
      <c r="V26" s="70">
        <f t="shared" si="8"/>
        <v>0</v>
      </c>
      <c r="W26" s="345">
        <f t="shared" si="9"/>
        <v>0</v>
      </c>
      <c r="X26" s="345">
        <f t="shared" si="10"/>
        <v>0</v>
      </c>
      <c r="Y26" s="85"/>
      <c r="Z26" s="85">
        <v>0.6</v>
      </c>
      <c r="AA26" s="85">
        <v>0.6</v>
      </c>
      <c r="AB26" s="86">
        <f t="shared" si="0"/>
        <v>0</v>
      </c>
      <c r="AC26" s="86">
        <f t="shared" si="1"/>
        <v>0</v>
      </c>
    </row>
    <row r="27" spans="1:29" ht="21" x14ac:dyDescent="0.25">
      <c r="A27" s="85" t="s">
        <v>233</v>
      </c>
      <c r="B27" s="85" t="s">
        <v>71</v>
      </c>
      <c r="C27" s="85" t="s">
        <v>47</v>
      </c>
      <c r="D27" s="111"/>
      <c r="E27" s="111"/>
      <c r="F27" s="85">
        <v>425</v>
      </c>
      <c r="G27" s="85"/>
      <c r="H27" s="85">
        <v>9</v>
      </c>
      <c r="I27" s="85">
        <v>59</v>
      </c>
      <c r="J27" s="85">
        <v>23.6</v>
      </c>
      <c r="K27" s="85">
        <v>37.5</v>
      </c>
      <c r="L27" s="85">
        <v>21.5</v>
      </c>
      <c r="M27" s="85">
        <v>61</v>
      </c>
      <c r="N27" s="85">
        <v>24.4</v>
      </c>
      <c r="O27" s="85">
        <v>89.5</v>
      </c>
      <c r="P27" s="85">
        <f t="shared" si="2"/>
        <v>120</v>
      </c>
      <c r="Q27" s="50">
        <f t="shared" si="3"/>
        <v>0</v>
      </c>
      <c r="R27" s="70">
        <f t="shared" si="4"/>
        <v>0</v>
      </c>
      <c r="S27" s="70">
        <f t="shared" si="5"/>
        <v>0</v>
      </c>
      <c r="T27" s="70">
        <f t="shared" si="6"/>
        <v>0</v>
      </c>
      <c r="U27" s="70">
        <f t="shared" si="7"/>
        <v>0</v>
      </c>
      <c r="V27" s="70">
        <f t="shared" si="8"/>
        <v>0</v>
      </c>
      <c r="W27" s="345">
        <f t="shared" si="9"/>
        <v>0</v>
      </c>
      <c r="X27" s="345">
        <f t="shared" si="10"/>
        <v>0</v>
      </c>
      <c r="Y27" s="85"/>
      <c r="Z27" s="85">
        <v>0.6</v>
      </c>
      <c r="AA27" s="85">
        <v>0.6</v>
      </c>
      <c r="AB27" s="86">
        <f t="shared" si="0"/>
        <v>0</v>
      </c>
      <c r="AC27" s="86">
        <f t="shared" si="1"/>
        <v>0</v>
      </c>
    </row>
    <row r="28" spans="1:29" ht="21" x14ac:dyDescent="0.25">
      <c r="A28" s="85" t="s">
        <v>233</v>
      </c>
      <c r="B28" s="85" t="s">
        <v>71</v>
      </c>
      <c r="C28" s="85" t="s">
        <v>45</v>
      </c>
      <c r="D28" s="111"/>
      <c r="E28" s="111"/>
      <c r="F28" s="85">
        <v>425</v>
      </c>
      <c r="G28" s="85"/>
      <c r="H28" s="85">
        <v>26</v>
      </c>
      <c r="I28" s="85">
        <v>120</v>
      </c>
      <c r="J28" s="85">
        <v>48</v>
      </c>
      <c r="K28" s="85">
        <v>127</v>
      </c>
      <c r="L28" s="85"/>
      <c r="M28" s="85"/>
      <c r="N28" s="85"/>
      <c r="O28" s="85"/>
      <c r="P28" s="85">
        <f t="shared" si="2"/>
        <v>120</v>
      </c>
      <c r="Q28" s="50">
        <f t="shared" si="3"/>
        <v>0</v>
      </c>
      <c r="R28" s="70">
        <f t="shared" si="4"/>
        <v>0</v>
      </c>
      <c r="S28" s="70">
        <f t="shared" si="5"/>
        <v>0</v>
      </c>
      <c r="T28" s="70">
        <f t="shared" si="6"/>
        <v>0</v>
      </c>
      <c r="U28" s="70">
        <f t="shared" si="7"/>
        <v>0</v>
      </c>
      <c r="V28" s="70">
        <f t="shared" si="8"/>
        <v>0</v>
      </c>
      <c r="W28" s="345">
        <f t="shared" si="9"/>
        <v>0</v>
      </c>
      <c r="X28" s="345">
        <f t="shared" si="10"/>
        <v>0</v>
      </c>
      <c r="Y28" s="85"/>
      <c r="Z28" s="85">
        <v>0.6</v>
      </c>
      <c r="AA28" s="85">
        <v>0.6</v>
      </c>
      <c r="AB28" s="86">
        <f t="shared" si="0"/>
        <v>0</v>
      </c>
      <c r="AC28" s="86">
        <f t="shared" si="1"/>
        <v>0</v>
      </c>
    </row>
    <row r="29" spans="1:29" ht="21" x14ac:dyDescent="0.25">
      <c r="A29" s="85" t="s">
        <v>233</v>
      </c>
      <c r="B29" s="85" t="s">
        <v>71</v>
      </c>
      <c r="C29" s="85" t="s">
        <v>57</v>
      </c>
      <c r="D29" s="111"/>
      <c r="E29" s="111"/>
      <c r="F29" s="85">
        <v>425</v>
      </c>
      <c r="G29" s="85"/>
      <c r="H29" s="85">
        <v>26</v>
      </c>
      <c r="I29" s="85">
        <v>120</v>
      </c>
      <c r="J29" s="85">
        <v>48</v>
      </c>
      <c r="K29" s="85">
        <v>127</v>
      </c>
      <c r="L29" s="85"/>
      <c r="M29" s="85"/>
      <c r="N29" s="85"/>
      <c r="O29" s="85"/>
      <c r="P29" s="85">
        <f t="shared" si="2"/>
        <v>120</v>
      </c>
      <c r="Q29" s="50">
        <f t="shared" si="3"/>
        <v>0</v>
      </c>
      <c r="R29" s="70">
        <f t="shared" si="4"/>
        <v>0</v>
      </c>
      <c r="S29" s="70">
        <f t="shared" si="5"/>
        <v>0</v>
      </c>
      <c r="T29" s="70">
        <f t="shared" si="6"/>
        <v>0</v>
      </c>
      <c r="U29" s="70">
        <f t="shared" si="7"/>
        <v>0</v>
      </c>
      <c r="V29" s="70">
        <f t="shared" si="8"/>
        <v>0</v>
      </c>
      <c r="W29" s="345">
        <f t="shared" si="9"/>
        <v>0</v>
      </c>
      <c r="X29" s="345">
        <f t="shared" si="10"/>
        <v>0</v>
      </c>
      <c r="Y29" s="85"/>
      <c r="Z29" s="85">
        <v>0.6</v>
      </c>
      <c r="AA29" s="85">
        <v>0.6</v>
      </c>
      <c r="AB29" s="86">
        <f t="shared" si="0"/>
        <v>0</v>
      </c>
      <c r="AC29" s="86">
        <f t="shared" si="1"/>
        <v>0</v>
      </c>
    </row>
    <row r="30" spans="1:29" ht="21" x14ac:dyDescent="0.25">
      <c r="A30" s="85" t="s">
        <v>233</v>
      </c>
      <c r="B30" s="85" t="s">
        <v>71</v>
      </c>
      <c r="C30" s="85" t="s">
        <v>49</v>
      </c>
      <c r="D30" s="111"/>
      <c r="E30" s="111"/>
      <c r="F30" s="85">
        <v>425</v>
      </c>
      <c r="G30" s="85"/>
      <c r="H30" s="85">
        <v>2.8</v>
      </c>
      <c r="I30" s="85">
        <v>17</v>
      </c>
      <c r="J30" s="85">
        <v>6.8</v>
      </c>
      <c r="K30" s="85">
        <v>11.9</v>
      </c>
      <c r="L30" s="85">
        <v>24</v>
      </c>
      <c r="M30" s="85">
        <v>103</v>
      </c>
      <c r="N30" s="85">
        <v>41.2</v>
      </c>
      <c r="O30" s="85">
        <v>115.1</v>
      </c>
      <c r="P30" s="85">
        <f t="shared" si="2"/>
        <v>120</v>
      </c>
      <c r="Q30" s="50">
        <f t="shared" si="3"/>
        <v>0</v>
      </c>
      <c r="R30" s="70">
        <f t="shared" si="4"/>
        <v>0</v>
      </c>
      <c r="S30" s="70">
        <f t="shared" si="5"/>
        <v>0</v>
      </c>
      <c r="T30" s="70">
        <f t="shared" si="6"/>
        <v>0</v>
      </c>
      <c r="U30" s="70">
        <f t="shared" si="7"/>
        <v>0</v>
      </c>
      <c r="V30" s="70">
        <f t="shared" si="8"/>
        <v>0</v>
      </c>
      <c r="W30" s="345">
        <f t="shared" si="9"/>
        <v>0</v>
      </c>
      <c r="X30" s="345">
        <f t="shared" si="10"/>
        <v>0</v>
      </c>
      <c r="Y30" s="85"/>
      <c r="Z30" s="85">
        <v>0.6</v>
      </c>
      <c r="AA30" s="85">
        <v>0.6</v>
      </c>
      <c r="AB30" s="86">
        <f t="shared" si="0"/>
        <v>0</v>
      </c>
      <c r="AC30" s="86">
        <f t="shared" si="1"/>
        <v>0</v>
      </c>
    </row>
    <row r="31" spans="1:29" ht="21" x14ac:dyDescent="0.25">
      <c r="A31" s="85" t="s">
        <v>233</v>
      </c>
      <c r="B31" s="85" t="s">
        <v>71</v>
      </c>
      <c r="C31" s="85" t="s">
        <v>126</v>
      </c>
      <c r="D31" s="111"/>
      <c r="E31" s="111"/>
      <c r="F31" s="85">
        <v>425</v>
      </c>
      <c r="G31" s="85"/>
      <c r="H31" s="85"/>
      <c r="I31" s="85"/>
      <c r="J31" s="85"/>
      <c r="K31" s="85"/>
      <c r="L31" s="85">
        <v>26.8</v>
      </c>
      <c r="M31" s="85">
        <v>120</v>
      </c>
      <c r="N31" s="85">
        <v>48</v>
      </c>
      <c r="O31" s="85">
        <v>127</v>
      </c>
      <c r="P31" s="85">
        <f t="shared" si="2"/>
        <v>120</v>
      </c>
      <c r="Q31" s="50">
        <f t="shared" si="3"/>
        <v>0</v>
      </c>
      <c r="R31" s="70">
        <f t="shared" si="4"/>
        <v>0</v>
      </c>
      <c r="S31" s="70">
        <f t="shared" si="5"/>
        <v>0</v>
      </c>
      <c r="T31" s="70">
        <f t="shared" si="6"/>
        <v>0</v>
      </c>
      <c r="U31" s="70">
        <f t="shared" si="7"/>
        <v>0</v>
      </c>
      <c r="V31" s="70">
        <f t="shared" si="8"/>
        <v>0</v>
      </c>
      <c r="W31" s="345">
        <f t="shared" si="9"/>
        <v>0</v>
      </c>
      <c r="X31" s="345">
        <f t="shared" si="10"/>
        <v>0</v>
      </c>
      <c r="Y31" s="85"/>
      <c r="Z31" s="85">
        <v>0.6</v>
      </c>
      <c r="AA31" s="85">
        <v>0.6</v>
      </c>
      <c r="AB31" s="86">
        <f t="shared" si="0"/>
        <v>0</v>
      </c>
      <c r="AC31" s="86">
        <f t="shared" si="1"/>
        <v>0</v>
      </c>
    </row>
    <row r="32" spans="1:29" ht="21" x14ac:dyDescent="0.25">
      <c r="A32" s="85" t="s">
        <v>233</v>
      </c>
      <c r="B32" s="85" t="s">
        <v>71</v>
      </c>
      <c r="C32" s="85" t="s">
        <v>58</v>
      </c>
      <c r="D32" s="111"/>
      <c r="E32" s="111"/>
      <c r="F32" s="85">
        <v>425</v>
      </c>
      <c r="G32" s="85"/>
      <c r="H32" s="85">
        <v>13</v>
      </c>
      <c r="I32" s="85">
        <v>61</v>
      </c>
      <c r="J32" s="85">
        <v>24.4</v>
      </c>
      <c r="K32" s="85">
        <v>40.9</v>
      </c>
      <c r="L32" s="85">
        <v>27.4</v>
      </c>
      <c r="M32" s="85">
        <v>59</v>
      </c>
      <c r="N32" s="85">
        <v>23.6</v>
      </c>
      <c r="O32" s="85">
        <v>86.1</v>
      </c>
      <c r="P32" s="85">
        <f t="shared" si="2"/>
        <v>120</v>
      </c>
      <c r="Q32" s="50">
        <f t="shared" si="3"/>
        <v>0</v>
      </c>
      <c r="R32" s="70">
        <f t="shared" si="4"/>
        <v>0</v>
      </c>
      <c r="S32" s="70">
        <f t="shared" si="5"/>
        <v>0</v>
      </c>
      <c r="T32" s="70">
        <f t="shared" si="6"/>
        <v>0</v>
      </c>
      <c r="U32" s="70">
        <f t="shared" si="7"/>
        <v>0</v>
      </c>
      <c r="V32" s="70">
        <f t="shared" si="8"/>
        <v>0</v>
      </c>
      <c r="W32" s="345">
        <f t="shared" si="9"/>
        <v>0</v>
      </c>
      <c r="X32" s="345">
        <f t="shared" si="10"/>
        <v>0</v>
      </c>
      <c r="Y32" s="85"/>
      <c r="Z32" s="85">
        <v>0.6</v>
      </c>
      <c r="AA32" s="85">
        <v>0.6</v>
      </c>
      <c r="AB32" s="86">
        <f t="shared" si="0"/>
        <v>0</v>
      </c>
      <c r="AC32" s="86">
        <f t="shared" si="1"/>
        <v>0</v>
      </c>
    </row>
    <row r="33" spans="1:29" ht="21" x14ac:dyDescent="0.25">
      <c r="A33" s="335" t="s">
        <v>240</v>
      </c>
      <c r="B33" s="335" t="s">
        <v>71</v>
      </c>
      <c r="C33" s="335" t="s">
        <v>56</v>
      </c>
      <c r="D33" s="111"/>
      <c r="E33" s="111"/>
      <c r="F33" s="85">
        <v>450</v>
      </c>
      <c r="G33" s="85"/>
      <c r="H33" s="85">
        <v>4.3</v>
      </c>
      <c r="I33" s="85">
        <v>22.3</v>
      </c>
      <c r="J33" s="85">
        <v>8.9</v>
      </c>
      <c r="K33" s="85">
        <v>18.2</v>
      </c>
      <c r="L33" s="85">
        <v>25.7</v>
      </c>
      <c r="M33" s="85">
        <v>80.7</v>
      </c>
      <c r="N33" s="85">
        <v>32.299999999999997</v>
      </c>
      <c r="O33" s="85">
        <v>108.8</v>
      </c>
      <c r="P33" s="335">
        <f t="shared" si="2"/>
        <v>103</v>
      </c>
      <c r="Q33" s="50">
        <f t="shared" si="3"/>
        <v>0</v>
      </c>
      <c r="R33" s="70">
        <f t="shared" si="4"/>
        <v>0</v>
      </c>
      <c r="S33" s="70">
        <f t="shared" si="5"/>
        <v>0</v>
      </c>
      <c r="T33" s="70">
        <f t="shared" si="6"/>
        <v>0</v>
      </c>
      <c r="U33" s="70">
        <f t="shared" si="7"/>
        <v>0</v>
      </c>
      <c r="V33" s="70">
        <f t="shared" si="8"/>
        <v>0</v>
      </c>
      <c r="W33" s="345">
        <f t="shared" si="9"/>
        <v>0</v>
      </c>
      <c r="X33" s="345">
        <f t="shared" si="10"/>
        <v>0</v>
      </c>
      <c r="Y33" s="85"/>
      <c r="Z33" s="85">
        <v>0.6</v>
      </c>
      <c r="AA33" s="85">
        <v>0.6</v>
      </c>
      <c r="AB33" s="86">
        <f t="shared" si="0"/>
        <v>0</v>
      </c>
      <c r="AC33" s="86">
        <f t="shared" si="1"/>
        <v>0</v>
      </c>
    </row>
    <row r="34" spans="1:29" ht="21" x14ac:dyDescent="0.25">
      <c r="A34" s="85" t="s">
        <v>240</v>
      </c>
      <c r="B34" s="85" t="s">
        <v>71</v>
      </c>
      <c r="C34" s="85" t="s">
        <v>127</v>
      </c>
      <c r="D34" s="111"/>
      <c r="E34" s="111"/>
      <c r="F34" s="85">
        <v>450</v>
      </c>
      <c r="G34" s="85"/>
      <c r="H34" s="85"/>
      <c r="I34" s="85"/>
      <c r="J34" s="85"/>
      <c r="K34" s="85"/>
      <c r="L34" s="85">
        <v>26.7</v>
      </c>
      <c r="M34" s="85">
        <v>120</v>
      </c>
      <c r="N34" s="85">
        <v>48</v>
      </c>
      <c r="O34" s="85">
        <v>127</v>
      </c>
      <c r="P34" s="85">
        <f t="shared" si="2"/>
        <v>120</v>
      </c>
      <c r="Q34" s="50">
        <f t="shared" si="3"/>
        <v>0</v>
      </c>
      <c r="R34" s="70">
        <f t="shared" si="4"/>
        <v>0</v>
      </c>
      <c r="S34" s="70">
        <f t="shared" si="5"/>
        <v>0</v>
      </c>
      <c r="T34" s="70">
        <f t="shared" si="6"/>
        <v>0</v>
      </c>
      <c r="U34" s="70">
        <f t="shared" si="7"/>
        <v>0</v>
      </c>
      <c r="V34" s="70">
        <f t="shared" si="8"/>
        <v>0</v>
      </c>
      <c r="W34" s="345">
        <f t="shared" si="9"/>
        <v>0</v>
      </c>
      <c r="X34" s="345">
        <f t="shared" si="10"/>
        <v>0</v>
      </c>
      <c r="Y34" s="85"/>
      <c r="Z34" s="85">
        <v>0.6</v>
      </c>
      <c r="AA34" s="85">
        <v>0.6</v>
      </c>
      <c r="AB34" s="86">
        <f t="shared" si="0"/>
        <v>0</v>
      </c>
      <c r="AC34" s="86">
        <f t="shared" si="1"/>
        <v>0</v>
      </c>
    </row>
    <row r="35" spans="1:29" ht="21" x14ac:dyDescent="0.25">
      <c r="A35" s="85" t="s">
        <v>240</v>
      </c>
      <c r="B35" s="85" t="s">
        <v>71</v>
      </c>
      <c r="C35" s="85" t="s">
        <v>59</v>
      </c>
      <c r="D35" s="111"/>
      <c r="E35" s="111"/>
      <c r="F35" s="85">
        <v>450</v>
      </c>
      <c r="G35" s="85"/>
      <c r="H35" s="85">
        <v>2.8</v>
      </c>
      <c r="I35" s="85">
        <v>17</v>
      </c>
      <c r="J35" s="85">
        <v>6.8</v>
      </c>
      <c r="K35" s="85">
        <v>14.7</v>
      </c>
      <c r="L35" s="85">
        <v>24</v>
      </c>
      <c r="M35" s="85">
        <v>103</v>
      </c>
      <c r="N35" s="85">
        <v>41.2</v>
      </c>
      <c r="O35" s="85">
        <v>112.3</v>
      </c>
      <c r="P35" s="85">
        <f t="shared" si="2"/>
        <v>120</v>
      </c>
      <c r="Q35" s="50">
        <f t="shared" si="3"/>
        <v>0</v>
      </c>
      <c r="R35" s="70">
        <f t="shared" si="4"/>
        <v>0</v>
      </c>
      <c r="S35" s="70">
        <f t="shared" si="5"/>
        <v>0</v>
      </c>
      <c r="T35" s="70">
        <f t="shared" si="6"/>
        <v>0</v>
      </c>
      <c r="U35" s="70">
        <f t="shared" si="7"/>
        <v>0</v>
      </c>
      <c r="V35" s="70">
        <f t="shared" si="8"/>
        <v>0</v>
      </c>
      <c r="W35" s="345">
        <f t="shared" si="9"/>
        <v>0</v>
      </c>
      <c r="X35" s="345">
        <f t="shared" si="10"/>
        <v>0</v>
      </c>
      <c r="Y35" s="85"/>
      <c r="Z35" s="85">
        <v>0.6</v>
      </c>
      <c r="AA35" s="85">
        <v>0.6</v>
      </c>
      <c r="AB35" s="86">
        <f t="shared" si="0"/>
        <v>0</v>
      </c>
      <c r="AC35" s="86">
        <f t="shared" si="1"/>
        <v>0</v>
      </c>
    </row>
    <row r="36" spans="1:29" ht="21" x14ac:dyDescent="0.25">
      <c r="A36" s="85" t="s">
        <v>240</v>
      </c>
      <c r="B36" s="85" t="s">
        <v>71</v>
      </c>
      <c r="C36" s="85" t="s">
        <v>128</v>
      </c>
      <c r="D36" s="111"/>
      <c r="E36" s="111"/>
      <c r="F36" s="85">
        <v>450</v>
      </c>
      <c r="G36" s="85"/>
      <c r="H36" s="85"/>
      <c r="I36" s="85"/>
      <c r="J36" s="85"/>
      <c r="K36" s="85"/>
      <c r="L36" s="85">
        <v>26.8</v>
      </c>
      <c r="M36" s="85">
        <v>120</v>
      </c>
      <c r="N36" s="85">
        <v>48</v>
      </c>
      <c r="O36" s="85">
        <v>127</v>
      </c>
      <c r="P36" s="85">
        <f t="shared" si="2"/>
        <v>120</v>
      </c>
      <c r="Q36" s="50">
        <f t="shared" si="3"/>
        <v>0</v>
      </c>
      <c r="R36" s="70">
        <f t="shared" si="4"/>
        <v>0</v>
      </c>
      <c r="S36" s="70">
        <f t="shared" si="5"/>
        <v>0</v>
      </c>
      <c r="T36" s="70">
        <f t="shared" si="6"/>
        <v>0</v>
      </c>
      <c r="U36" s="70">
        <f t="shared" si="7"/>
        <v>0</v>
      </c>
      <c r="V36" s="70">
        <f t="shared" si="8"/>
        <v>0</v>
      </c>
      <c r="W36" s="345">
        <f t="shared" si="9"/>
        <v>0</v>
      </c>
      <c r="X36" s="345">
        <f t="shared" si="10"/>
        <v>0</v>
      </c>
      <c r="Y36" s="85"/>
      <c r="Z36" s="85">
        <v>0.6</v>
      </c>
      <c r="AA36" s="85">
        <v>0.6</v>
      </c>
      <c r="AB36" s="86">
        <f t="shared" si="0"/>
        <v>0</v>
      </c>
      <c r="AC36" s="86">
        <f t="shared" si="1"/>
        <v>0</v>
      </c>
    </row>
    <row r="37" spans="1:29" ht="21" x14ac:dyDescent="0.25">
      <c r="A37" s="85" t="s">
        <v>240</v>
      </c>
      <c r="B37" s="85" t="s">
        <v>71</v>
      </c>
      <c r="C37" s="85" t="s">
        <v>46</v>
      </c>
      <c r="D37" s="111"/>
      <c r="E37" s="111"/>
      <c r="F37" s="85">
        <v>450</v>
      </c>
      <c r="G37" s="85"/>
      <c r="H37" s="85">
        <v>16</v>
      </c>
      <c r="I37" s="85">
        <v>61</v>
      </c>
      <c r="J37" s="85">
        <v>24.4</v>
      </c>
      <c r="K37" s="85">
        <v>68</v>
      </c>
      <c r="L37" s="85">
        <v>13.9</v>
      </c>
      <c r="M37" s="85">
        <v>59</v>
      </c>
      <c r="N37" s="85">
        <v>23.6</v>
      </c>
      <c r="O37" s="85">
        <v>59</v>
      </c>
      <c r="P37" s="85">
        <f t="shared" si="2"/>
        <v>120</v>
      </c>
      <c r="Q37" s="50">
        <f t="shared" si="3"/>
        <v>0</v>
      </c>
      <c r="R37" s="70">
        <f t="shared" si="4"/>
        <v>0</v>
      </c>
      <c r="S37" s="70">
        <f t="shared" si="5"/>
        <v>0</v>
      </c>
      <c r="T37" s="70">
        <f t="shared" si="6"/>
        <v>0</v>
      </c>
      <c r="U37" s="70">
        <f t="shared" si="7"/>
        <v>0</v>
      </c>
      <c r="V37" s="70">
        <f t="shared" si="8"/>
        <v>0</v>
      </c>
      <c r="W37" s="345">
        <f t="shared" si="9"/>
        <v>0</v>
      </c>
      <c r="X37" s="345">
        <f t="shared" si="10"/>
        <v>0</v>
      </c>
      <c r="Y37" s="85"/>
      <c r="Z37" s="85">
        <v>0.6</v>
      </c>
      <c r="AA37" s="85">
        <v>0.6</v>
      </c>
      <c r="AB37" s="86">
        <f t="shared" si="0"/>
        <v>0</v>
      </c>
      <c r="AC37" s="86">
        <f t="shared" si="1"/>
        <v>0</v>
      </c>
    </row>
    <row r="38" spans="1:29" ht="21" x14ac:dyDescent="0.25">
      <c r="A38" s="85" t="s">
        <v>240</v>
      </c>
      <c r="B38" s="85" t="s">
        <v>71</v>
      </c>
      <c r="C38" s="85" t="s">
        <v>47</v>
      </c>
      <c r="D38" s="111"/>
      <c r="E38" s="111"/>
      <c r="F38" s="85">
        <v>450</v>
      </c>
      <c r="G38" s="85"/>
      <c r="H38" s="85">
        <v>9</v>
      </c>
      <c r="I38" s="85">
        <v>59</v>
      </c>
      <c r="J38" s="85">
        <v>23.6</v>
      </c>
      <c r="K38" s="85">
        <v>37.5</v>
      </c>
      <c r="L38" s="85">
        <v>21.5</v>
      </c>
      <c r="M38" s="85">
        <v>61</v>
      </c>
      <c r="N38" s="85">
        <v>24.4</v>
      </c>
      <c r="O38" s="85">
        <v>89.5</v>
      </c>
      <c r="P38" s="85">
        <f t="shared" si="2"/>
        <v>120</v>
      </c>
      <c r="Q38" s="50">
        <f t="shared" si="3"/>
        <v>0</v>
      </c>
      <c r="R38" s="70">
        <f t="shared" si="4"/>
        <v>0</v>
      </c>
      <c r="S38" s="70">
        <f t="shared" si="5"/>
        <v>0</v>
      </c>
      <c r="T38" s="70">
        <f t="shared" si="6"/>
        <v>0</v>
      </c>
      <c r="U38" s="70">
        <f t="shared" si="7"/>
        <v>0</v>
      </c>
      <c r="V38" s="70">
        <f t="shared" si="8"/>
        <v>0</v>
      </c>
      <c r="W38" s="345">
        <f t="shared" si="9"/>
        <v>0</v>
      </c>
      <c r="X38" s="345">
        <f t="shared" si="10"/>
        <v>0</v>
      </c>
      <c r="Y38" s="85"/>
      <c r="Z38" s="85">
        <v>0.6</v>
      </c>
      <c r="AA38" s="85">
        <v>0.6</v>
      </c>
      <c r="AB38" s="86">
        <f t="shared" si="0"/>
        <v>0</v>
      </c>
      <c r="AC38" s="86">
        <f t="shared" si="1"/>
        <v>0</v>
      </c>
    </row>
    <row r="39" spans="1:29" ht="21" x14ac:dyDescent="0.25">
      <c r="A39" s="85" t="s">
        <v>240</v>
      </c>
      <c r="B39" s="85" t="s">
        <v>71</v>
      </c>
      <c r="C39" s="85" t="s">
        <v>45</v>
      </c>
      <c r="D39" s="111"/>
      <c r="E39" s="111"/>
      <c r="F39" s="85">
        <v>450</v>
      </c>
      <c r="G39" s="85"/>
      <c r="H39" s="85">
        <v>26</v>
      </c>
      <c r="I39" s="85">
        <v>120</v>
      </c>
      <c r="J39" s="85">
        <v>48</v>
      </c>
      <c r="K39" s="85">
        <v>127</v>
      </c>
      <c r="L39" s="85"/>
      <c r="M39" s="85"/>
      <c r="N39" s="85"/>
      <c r="O39" s="85"/>
      <c r="P39" s="85">
        <f t="shared" si="2"/>
        <v>120</v>
      </c>
      <c r="Q39" s="50">
        <f t="shared" si="3"/>
        <v>0</v>
      </c>
      <c r="R39" s="70">
        <f t="shared" si="4"/>
        <v>0</v>
      </c>
      <c r="S39" s="70">
        <f t="shared" si="5"/>
        <v>0</v>
      </c>
      <c r="T39" s="70">
        <f t="shared" si="6"/>
        <v>0</v>
      </c>
      <c r="U39" s="70">
        <f t="shared" si="7"/>
        <v>0</v>
      </c>
      <c r="V39" s="70">
        <f t="shared" si="8"/>
        <v>0</v>
      </c>
      <c r="W39" s="345">
        <f t="shared" si="9"/>
        <v>0</v>
      </c>
      <c r="X39" s="345">
        <f t="shared" si="10"/>
        <v>0</v>
      </c>
      <c r="Y39" s="85"/>
      <c r="Z39" s="85">
        <v>0.6</v>
      </c>
      <c r="AA39" s="85">
        <v>0.6</v>
      </c>
      <c r="AB39" s="86">
        <f t="shared" si="0"/>
        <v>0</v>
      </c>
      <c r="AC39" s="86">
        <f t="shared" si="1"/>
        <v>0</v>
      </c>
    </row>
    <row r="40" spans="1:29" ht="21" x14ac:dyDescent="0.25">
      <c r="A40" s="85" t="s">
        <v>240</v>
      </c>
      <c r="B40" s="85" t="s">
        <v>71</v>
      </c>
      <c r="C40" s="85" t="s">
        <v>57</v>
      </c>
      <c r="D40" s="111"/>
      <c r="E40" s="111"/>
      <c r="F40" s="85">
        <v>450</v>
      </c>
      <c r="G40" s="85"/>
      <c r="H40" s="85">
        <v>26</v>
      </c>
      <c r="I40" s="85">
        <v>120</v>
      </c>
      <c r="J40" s="85">
        <v>48</v>
      </c>
      <c r="K40" s="85">
        <v>127</v>
      </c>
      <c r="L40" s="85"/>
      <c r="M40" s="85"/>
      <c r="N40" s="85"/>
      <c r="O40" s="85"/>
      <c r="P40" s="85">
        <f t="shared" si="2"/>
        <v>120</v>
      </c>
      <c r="Q40" s="50">
        <f t="shared" si="3"/>
        <v>0</v>
      </c>
      <c r="R40" s="70">
        <f t="shared" si="4"/>
        <v>0</v>
      </c>
      <c r="S40" s="70">
        <f t="shared" si="5"/>
        <v>0</v>
      </c>
      <c r="T40" s="70">
        <f t="shared" si="6"/>
        <v>0</v>
      </c>
      <c r="U40" s="70">
        <f t="shared" si="7"/>
        <v>0</v>
      </c>
      <c r="V40" s="70">
        <f t="shared" si="8"/>
        <v>0</v>
      </c>
      <c r="W40" s="345">
        <f t="shared" si="9"/>
        <v>0</v>
      </c>
      <c r="X40" s="345">
        <f t="shared" si="10"/>
        <v>0</v>
      </c>
      <c r="Y40" s="85"/>
      <c r="Z40" s="85">
        <v>0.6</v>
      </c>
      <c r="AA40" s="85">
        <v>0.6</v>
      </c>
      <c r="AB40" s="86">
        <f t="shared" ref="AB40:AB72" si="11">Z40*D40</f>
        <v>0</v>
      </c>
      <c r="AC40" s="86">
        <f t="shared" ref="AC40:AC72" si="12">AA40*D40</f>
        <v>0</v>
      </c>
    </row>
    <row r="41" spans="1:29" ht="21" x14ac:dyDescent="0.25">
      <c r="A41" s="85" t="s">
        <v>240</v>
      </c>
      <c r="B41" s="85" t="s">
        <v>71</v>
      </c>
      <c r="C41" s="85" t="s">
        <v>49</v>
      </c>
      <c r="D41" s="111"/>
      <c r="E41" s="111"/>
      <c r="F41" s="85">
        <v>450</v>
      </c>
      <c r="G41" s="85"/>
      <c r="H41" s="85">
        <v>2.8</v>
      </c>
      <c r="I41" s="85">
        <v>17</v>
      </c>
      <c r="J41" s="85">
        <v>6.8</v>
      </c>
      <c r="K41" s="85">
        <v>11.9</v>
      </c>
      <c r="L41" s="85">
        <v>24</v>
      </c>
      <c r="M41" s="85">
        <v>103</v>
      </c>
      <c r="N41" s="85">
        <v>41.2</v>
      </c>
      <c r="O41" s="85">
        <v>115.1</v>
      </c>
      <c r="P41" s="85">
        <f t="shared" si="2"/>
        <v>120</v>
      </c>
      <c r="Q41" s="50">
        <f t="shared" si="3"/>
        <v>0</v>
      </c>
      <c r="R41" s="70">
        <f t="shared" si="4"/>
        <v>0</v>
      </c>
      <c r="S41" s="70">
        <f t="shared" si="5"/>
        <v>0</v>
      </c>
      <c r="T41" s="70">
        <f t="shared" si="6"/>
        <v>0</v>
      </c>
      <c r="U41" s="70">
        <f t="shared" si="7"/>
        <v>0</v>
      </c>
      <c r="V41" s="70">
        <f t="shared" si="8"/>
        <v>0</v>
      </c>
      <c r="W41" s="345">
        <f t="shared" si="9"/>
        <v>0</v>
      </c>
      <c r="X41" s="345">
        <f t="shared" si="10"/>
        <v>0</v>
      </c>
      <c r="Y41" s="85"/>
      <c r="Z41" s="85">
        <v>0.6</v>
      </c>
      <c r="AA41" s="85">
        <v>0.6</v>
      </c>
      <c r="AB41" s="86">
        <f t="shared" si="11"/>
        <v>0</v>
      </c>
      <c r="AC41" s="86">
        <f t="shared" si="12"/>
        <v>0</v>
      </c>
    </row>
    <row r="42" spans="1:29" ht="21" x14ac:dyDescent="0.25">
      <c r="A42" s="85" t="s">
        <v>240</v>
      </c>
      <c r="B42" s="85" t="s">
        <v>71</v>
      </c>
      <c r="C42" s="85" t="s">
        <v>126</v>
      </c>
      <c r="D42" s="111"/>
      <c r="E42" s="111"/>
      <c r="F42" s="85">
        <v>450</v>
      </c>
      <c r="G42" s="85"/>
      <c r="H42" s="85"/>
      <c r="I42" s="85"/>
      <c r="J42" s="85"/>
      <c r="K42" s="85"/>
      <c r="L42" s="85">
        <v>26.8</v>
      </c>
      <c r="M42" s="85">
        <v>120</v>
      </c>
      <c r="N42" s="85">
        <v>48</v>
      </c>
      <c r="O42" s="85">
        <v>127</v>
      </c>
      <c r="P42" s="85">
        <f t="shared" si="2"/>
        <v>120</v>
      </c>
      <c r="Q42" s="50">
        <f t="shared" si="3"/>
        <v>0</v>
      </c>
      <c r="R42" s="70">
        <f t="shared" si="4"/>
        <v>0</v>
      </c>
      <c r="S42" s="70">
        <f t="shared" si="5"/>
        <v>0</v>
      </c>
      <c r="T42" s="70">
        <f t="shared" si="6"/>
        <v>0</v>
      </c>
      <c r="U42" s="70">
        <f t="shared" si="7"/>
        <v>0</v>
      </c>
      <c r="V42" s="70">
        <f t="shared" si="8"/>
        <v>0</v>
      </c>
      <c r="W42" s="345">
        <f t="shared" si="9"/>
        <v>0</v>
      </c>
      <c r="X42" s="345">
        <f t="shared" si="10"/>
        <v>0</v>
      </c>
      <c r="Y42" s="85"/>
      <c r="Z42" s="85">
        <v>0.6</v>
      </c>
      <c r="AA42" s="85">
        <v>0.6</v>
      </c>
      <c r="AB42" s="86">
        <f t="shared" si="11"/>
        <v>0</v>
      </c>
      <c r="AC42" s="86">
        <f t="shared" si="12"/>
        <v>0</v>
      </c>
    </row>
    <row r="43" spans="1:29" ht="21" x14ac:dyDescent="0.25">
      <c r="A43" s="85" t="s">
        <v>240</v>
      </c>
      <c r="B43" s="85" t="s">
        <v>71</v>
      </c>
      <c r="C43" s="85" t="s">
        <v>58</v>
      </c>
      <c r="D43" s="111"/>
      <c r="E43" s="111"/>
      <c r="F43" s="85">
        <v>450</v>
      </c>
      <c r="G43" s="85"/>
      <c r="H43" s="85">
        <v>13</v>
      </c>
      <c r="I43" s="85">
        <v>61</v>
      </c>
      <c r="J43" s="85">
        <v>24.4</v>
      </c>
      <c r="K43" s="85">
        <v>40.9</v>
      </c>
      <c r="L43" s="85">
        <v>27.4</v>
      </c>
      <c r="M43" s="85">
        <v>59</v>
      </c>
      <c r="N43" s="85">
        <v>23.6</v>
      </c>
      <c r="O43" s="85">
        <v>86.1</v>
      </c>
      <c r="P43" s="85">
        <f t="shared" si="2"/>
        <v>120</v>
      </c>
      <c r="Q43" s="50">
        <f t="shared" si="3"/>
        <v>0</v>
      </c>
      <c r="R43" s="70">
        <f t="shared" si="4"/>
        <v>0</v>
      </c>
      <c r="S43" s="70">
        <f t="shared" si="5"/>
        <v>0</v>
      </c>
      <c r="T43" s="70">
        <f t="shared" si="6"/>
        <v>0</v>
      </c>
      <c r="U43" s="70">
        <f t="shared" si="7"/>
        <v>0</v>
      </c>
      <c r="V43" s="70">
        <f t="shared" si="8"/>
        <v>0</v>
      </c>
      <c r="W43" s="345">
        <f t="shared" si="9"/>
        <v>0</v>
      </c>
      <c r="X43" s="345">
        <f t="shared" si="10"/>
        <v>0</v>
      </c>
      <c r="Y43" s="85"/>
      <c r="Z43" s="85">
        <v>0.6</v>
      </c>
      <c r="AA43" s="85">
        <v>0.6</v>
      </c>
      <c r="AB43" s="86">
        <f t="shared" si="11"/>
        <v>0</v>
      </c>
      <c r="AC43" s="86">
        <f t="shared" si="12"/>
        <v>0</v>
      </c>
    </row>
    <row r="44" spans="1:29" ht="21" x14ac:dyDescent="0.25">
      <c r="A44" s="335" t="s">
        <v>236</v>
      </c>
      <c r="B44" s="335" t="s">
        <v>71</v>
      </c>
      <c r="C44" s="335" t="s">
        <v>56</v>
      </c>
      <c r="D44" s="111"/>
      <c r="E44" s="111"/>
      <c r="F44" s="85">
        <v>600</v>
      </c>
      <c r="G44" s="85"/>
      <c r="H44" s="85">
        <v>4.3</v>
      </c>
      <c r="I44" s="85">
        <v>22.3</v>
      </c>
      <c r="J44" s="85">
        <v>8.9</v>
      </c>
      <c r="K44" s="85">
        <v>18.2</v>
      </c>
      <c r="L44" s="85">
        <v>25.7</v>
      </c>
      <c r="M44" s="85">
        <v>80.7</v>
      </c>
      <c r="N44" s="85">
        <v>32.299999999999997</v>
      </c>
      <c r="O44" s="85">
        <v>108.8</v>
      </c>
      <c r="P44" s="335">
        <f t="shared" si="2"/>
        <v>103</v>
      </c>
      <c r="Q44" s="50">
        <f t="shared" si="3"/>
        <v>0</v>
      </c>
      <c r="R44" s="70">
        <f t="shared" si="4"/>
        <v>0</v>
      </c>
      <c r="S44" s="70">
        <f t="shared" si="5"/>
        <v>0</v>
      </c>
      <c r="T44" s="70">
        <f t="shared" si="6"/>
        <v>0</v>
      </c>
      <c r="U44" s="70">
        <f t="shared" si="7"/>
        <v>0</v>
      </c>
      <c r="V44" s="70">
        <f t="shared" si="8"/>
        <v>0</v>
      </c>
      <c r="W44" s="345">
        <f t="shared" si="9"/>
        <v>0</v>
      </c>
      <c r="X44" s="345">
        <f t="shared" si="10"/>
        <v>0</v>
      </c>
      <c r="Y44" s="85"/>
      <c r="Z44" s="85">
        <v>1</v>
      </c>
      <c r="AA44" s="85">
        <v>1</v>
      </c>
      <c r="AB44" s="86">
        <f t="shared" si="11"/>
        <v>0</v>
      </c>
      <c r="AC44" s="86">
        <f t="shared" si="12"/>
        <v>0</v>
      </c>
    </row>
    <row r="45" spans="1:29" ht="21" x14ac:dyDescent="0.25">
      <c r="A45" s="85" t="s">
        <v>236</v>
      </c>
      <c r="B45" s="85" t="s">
        <v>71</v>
      </c>
      <c r="C45" s="85" t="s">
        <v>127</v>
      </c>
      <c r="D45" s="111"/>
      <c r="E45" s="111"/>
      <c r="F45" s="85">
        <v>600</v>
      </c>
      <c r="G45" s="85"/>
      <c r="H45" s="85"/>
      <c r="I45" s="85"/>
      <c r="J45" s="85"/>
      <c r="K45" s="85"/>
      <c r="L45" s="85">
        <v>26.7</v>
      </c>
      <c r="M45" s="85">
        <v>120</v>
      </c>
      <c r="N45" s="85">
        <v>48</v>
      </c>
      <c r="O45" s="85">
        <v>127</v>
      </c>
      <c r="P45" s="85">
        <f t="shared" si="2"/>
        <v>120</v>
      </c>
      <c r="Q45" s="50">
        <f t="shared" si="3"/>
        <v>0</v>
      </c>
      <c r="R45" s="70">
        <f t="shared" si="4"/>
        <v>0</v>
      </c>
      <c r="S45" s="70">
        <f t="shared" si="5"/>
        <v>0</v>
      </c>
      <c r="T45" s="70">
        <f t="shared" si="6"/>
        <v>0</v>
      </c>
      <c r="U45" s="70">
        <f t="shared" si="7"/>
        <v>0</v>
      </c>
      <c r="V45" s="70">
        <f t="shared" si="8"/>
        <v>0</v>
      </c>
      <c r="W45" s="345">
        <f t="shared" si="9"/>
        <v>0</v>
      </c>
      <c r="X45" s="345">
        <f t="shared" si="10"/>
        <v>0</v>
      </c>
      <c r="Y45" s="85"/>
      <c r="Z45" s="85">
        <v>1</v>
      </c>
      <c r="AA45" s="85">
        <v>1</v>
      </c>
      <c r="AB45" s="86">
        <f t="shared" si="11"/>
        <v>0</v>
      </c>
      <c r="AC45" s="86">
        <f t="shared" si="12"/>
        <v>0</v>
      </c>
    </row>
    <row r="46" spans="1:29" ht="21" x14ac:dyDescent="0.25">
      <c r="A46" s="85" t="s">
        <v>236</v>
      </c>
      <c r="B46" s="85" t="s">
        <v>71</v>
      </c>
      <c r="C46" s="85" t="s">
        <v>59</v>
      </c>
      <c r="D46" s="111"/>
      <c r="E46" s="111"/>
      <c r="F46" s="85">
        <v>600</v>
      </c>
      <c r="G46" s="85"/>
      <c r="H46" s="85">
        <v>2.8</v>
      </c>
      <c r="I46" s="85">
        <v>17</v>
      </c>
      <c r="J46" s="85">
        <v>6.8</v>
      </c>
      <c r="K46" s="85">
        <v>14.7</v>
      </c>
      <c r="L46" s="85">
        <v>24</v>
      </c>
      <c r="M46" s="85">
        <v>103</v>
      </c>
      <c r="N46" s="85">
        <v>41.2</v>
      </c>
      <c r="O46" s="85">
        <v>112.3</v>
      </c>
      <c r="P46" s="85">
        <f t="shared" si="2"/>
        <v>120</v>
      </c>
      <c r="Q46" s="50">
        <f t="shared" si="3"/>
        <v>0</v>
      </c>
      <c r="R46" s="70">
        <f t="shared" si="4"/>
        <v>0</v>
      </c>
      <c r="S46" s="70">
        <f t="shared" si="5"/>
        <v>0</v>
      </c>
      <c r="T46" s="70">
        <f t="shared" si="6"/>
        <v>0</v>
      </c>
      <c r="U46" s="70">
        <f t="shared" si="7"/>
        <v>0</v>
      </c>
      <c r="V46" s="70">
        <f t="shared" si="8"/>
        <v>0</v>
      </c>
      <c r="W46" s="345">
        <f t="shared" si="9"/>
        <v>0</v>
      </c>
      <c r="X46" s="345">
        <f t="shared" si="10"/>
        <v>0</v>
      </c>
      <c r="Y46" s="85"/>
      <c r="Z46" s="85">
        <v>1</v>
      </c>
      <c r="AA46" s="85">
        <v>1</v>
      </c>
      <c r="AB46" s="86">
        <f t="shared" si="11"/>
        <v>0</v>
      </c>
      <c r="AC46" s="86">
        <f t="shared" si="12"/>
        <v>0</v>
      </c>
    </row>
    <row r="47" spans="1:29" ht="21" x14ac:dyDescent="0.25">
      <c r="A47" s="85" t="s">
        <v>236</v>
      </c>
      <c r="B47" s="85" t="s">
        <v>71</v>
      </c>
      <c r="C47" s="85" t="s">
        <v>128</v>
      </c>
      <c r="D47" s="111"/>
      <c r="E47" s="111"/>
      <c r="F47" s="85">
        <v>600</v>
      </c>
      <c r="G47" s="85"/>
      <c r="H47" s="85"/>
      <c r="I47" s="85"/>
      <c r="J47" s="85"/>
      <c r="K47" s="85"/>
      <c r="L47" s="85">
        <v>26.8</v>
      </c>
      <c r="M47" s="85">
        <v>120</v>
      </c>
      <c r="N47" s="85">
        <v>48</v>
      </c>
      <c r="O47" s="85">
        <v>127</v>
      </c>
      <c r="P47" s="85">
        <f t="shared" si="2"/>
        <v>120</v>
      </c>
      <c r="Q47" s="50">
        <f t="shared" si="3"/>
        <v>0</v>
      </c>
      <c r="R47" s="70">
        <f t="shared" si="4"/>
        <v>0</v>
      </c>
      <c r="S47" s="70">
        <f t="shared" si="5"/>
        <v>0</v>
      </c>
      <c r="T47" s="70">
        <f t="shared" si="6"/>
        <v>0</v>
      </c>
      <c r="U47" s="70">
        <f t="shared" si="7"/>
        <v>0</v>
      </c>
      <c r="V47" s="70">
        <f t="shared" si="8"/>
        <v>0</v>
      </c>
      <c r="W47" s="345">
        <f t="shared" si="9"/>
        <v>0</v>
      </c>
      <c r="X47" s="345">
        <f t="shared" si="10"/>
        <v>0</v>
      </c>
      <c r="Y47" s="85"/>
      <c r="Z47" s="85">
        <v>1</v>
      </c>
      <c r="AA47" s="85">
        <v>1</v>
      </c>
      <c r="AB47" s="86">
        <f t="shared" si="11"/>
        <v>0</v>
      </c>
      <c r="AC47" s="86">
        <f t="shared" si="12"/>
        <v>0</v>
      </c>
    </row>
    <row r="48" spans="1:29" ht="21" x14ac:dyDescent="0.25">
      <c r="A48" s="85" t="s">
        <v>236</v>
      </c>
      <c r="B48" s="85" t="s">
        <v>71</v>
      </c>
      <c r="C48" s="85" t="s">
        <v>46</v>
      </c>
      <c r="D48" s="111"/>
      <c r="E48" s="111"/>
      <c r="F48" s="85">
        <v>600</v>
      </c>
      <c r="G48" s="85"/>
      <c r="H48" s="85">
        <v>16</v>
      </c>
      <c r="I48" s="85">
        <v>61</v>
      </c>
      <c r="J48" s="85">
        <v>24.4</v>
      </c>
      <c r="K48" s="85">
        <v>68</v>
      </c>
      <c r="L48" s="85">
        <v>13.9</v>
      </c>
      <c r="M48" s="85">
        <v>59</v>
      </c>
      <c r="N48" s="85">
        <v>23.6</v>
      </c>
      <c r="O48" s="85">
        <v>59</v>
      </c>
      <c r="P48" s="85">
        <f t="shared" si="2"/>
        <v>120</v>
      </c>
      <c r="Q48" s="50">
        <f t="shared" si="3"/>
        <v>0</v>
      </c>
      <c r="R48" s="70">
        <f t="shared" si="4"/>
        <v>0</v>
      </c>
      <c r="S48" s="70">
        <f t="shared" si="5"/>
        <v>0</v>
      </c>
      <c r="T48" s="70">
        <f t="shared" si="6"/>
        <v>0</v>
      </c>
      <c r="U48" s="70">
        <f t="shared" si="7"/>
        <v>0</v>
      </c>
      <c r="V48" s="70">
        <f t="shared" si="8"/>
        <v>0</v>
      </c>
      <c r="W48" s="345">
        <f t="shared" si="9"/>
        <v>0</v>
      </c>
      <c r="X48" s="345">
        <f t="shared" si="10"/>
        <v>0</v>
      </c>
      <c r="Y48" s="85"/>
      <c r="Z48" s="85">
        <v>1</v>
      </c>
      <c r="AA48" s="85">
        <v>1</v>
      </c>
      <c r="AB48" s="86">
        <f t="shared" si="11"/>
        <v>0</v>
      </c>
      <c r="AC48" s="86">
        <f t="shared" si="12"/>
        <v>0</v>
      </c>
    </row>
    <row r="49" spans="1:29" ht="21" x14ac:dyDescent="0.25">
      <c r="A49" s="85" t="s">
        <v>236</v>
      </c>
      <c r="B49" s="85" t="s">
        <v>71</v>
      </c>
      <c r="C49" s="85" t="s">
        <v>47</v>
      </c>
      <c r="D49" s="111"/>
      <c r="E49" s="111"/>
      <c r="F49" s="85">
        <v>600</v>
      </c>
      <c r="G49" s="85"/>
      <c r="H49" s="85">
        <v>9</v>
      </c>
      <c r="I49" s="85">
        <v>59</v>
      </c>
      <c r="J49" s="85">
        <v>23.6</v>
      </c>
      <c r="K49" s="85">
        <v>37.5</v>
      </c>
      <c r="L49" s="85">
        <v>21.5</v>
      </c>
      <c r="M49" s="85">
        <v>61</v>
      </c>
      <c r="N49" s="85">
        <v>24.4</v>
      </c>
      <c r="O49" s="85">
        <v>89.5</v>
      </c>
      <c r="P49" s="85">
        <f t="shared" si="2"/>
        <v>120</v>
      </c>
      <c r="Q49" s="50">
        <f t="shared" si="3"/>
        <v>0</v>
      </c>
      <c r="R49" s="70">
        <f t="shared" si="4"/>
        <v>0</v>
      </c>
      <c r="S49" s="70">
        <f t="shared" si="5"/>
        <v>0</v>
      </c>
      <c r="T49" s="70">
        <f t="shared" si="6"/>
        <v>0</v>
      </c>
      <c r="U49" s="70">
        <f t="shared" si="7"/>
        <v>0</v>
      </c>
      <c r="V49" s="70">
        <f t="shared" si="8"/>
        <v>0</v>
      </c>
      <c r="W49" s="345">
        <f t="shared" si="9"/>
        <v>0</v>
      </c>
      <c r="X49" s="345">
        <f t="shared" si="10"/>
        <v>0</v>
      </c>
      <c r="Y49" s="85"/>
      <c r="Z49" s="85">
        <v>1</v>
      </c>
      <c r="AA49" s="85">
        <v>1</v>
      </c>
      <c r="AB49" s="86">
        <f t="shared" si="11"/>
        <v>0</v>
      </c>
      <c r="AC49" s="86">
        <f t="shared" si="12"/>
        <v>0</v>
      </c>
    </row>
    <row r="50" spans="1:29" ht="21" x14ac:dyDescent="0.25">
      <c r="A50" s="85" t="s">
        <v>236</v>
      </c>
      <c r="B50" s="85" t="s">
        <v>71</v>
      </c>
      <c r="C50" s="85" t="s">
        <v>45</v>
      </c>
      <c r="D50" s="111"/>
      <c r="E50" s="111"/>
      <c r="F50" s="85">
        <v>600</v>
      </c>
      <c r="G50" s="85"/>
      <c r="H50" s="85">
        <v>26</v>
      </c>
      <c r="I50" s="85">
        <v>120</v>
      </c>
      <c r="J50" s="85">
        <v>48</v>
      </c>
      <c r="K50" s="85">
        <v>127</v>
      </c>
      <c r="L50" s="85"/>
      <c r="M50" s="85"/>
      <c r="N50" s="85"/>
      <c r="O50" s="85"/>
      <c r="P50" s="85">
        <f t="shared" si="2"/>
        <v>120</v>
      </c>
      <c r="Q50" s="50">
        <f t="shared" si="3"/>
        <v>0</v>
      </c>
      <c r="R50" s="70">
        <f t="shared" si="4"/>
        <v>0</v>
      </c>
      <c r="S50" s="70">
        <f t="shared" si="5"/>
        <v>0</v>
      </c>
      <c r="T50" s="70">
        <f t="shared" si="6"/>
        <v>0</v>
      </c>
      <c r="U50" s="70">
        <f t="shared" si="7"/>
        <v>0</v>
      </c>
      <c r="V50" s="70">
        <f t="shared" si="8"/>
        <v>0</v>
      </c>
      <c r="W50" s="345">
        <f t="shared" si="9"/>
        <v>0</v>
      </c>
      <c r="X50" s="345">
        <f t="shared" si="10"/>
        <v>0</v>
      </c>
      <c r="Y50" s="85"/>
      <c r="Z50" s="85">
        <v>1</v>
      </c>
      <c r="AA50" s="85">
        <v>1</v>
      </c>
      <c r="AB50" s="86">
        <f t="shared" si="11"/>
        <v>0</v>
      </c>
      <c r="AC50" s="86">
        <f t="shared" si="12"/>
        <v>0</v>
      </c>
    </row>
    <row r="51" spans="1:29" ht="21" x14ac:dyDescent="0.25">
      <c r="A51" s="85" t="s">
        <v>236</v>
      </c>
      <c r="B51" s="85" t="s">
        <v>71</v>
      </c>
      <c r="C51" s="85" t="s">
        <v>57</v>
      </c>
      <c r="D51" s="111"/>
      <c r="E51" s="111"/>
      <c r="F51" s="85">
        <v>600</v>
      </c>
      <c r="G51" s="85"/>
      <c r="H51" s="85">
        <v>26</v>
      </c>
      <c r="I51" s="85">
        <v>120</v>
      </c>
      <c r="J51" s="85">
        <v>48</v>
      </c>
      <c r="K51" s="85">
        <v>127</v>
      </c>
      <c r="L51" s="85"/>
      <c r="M51" s="85"/>
      <c r="N51" s="85"/>
      <c r="O51" s="85"/>
      <c r="P51" s="85">
        <f t="shared" si="2"/>
        <v>120</v>
      </c>
      <c r="Q51" s="50">
        <f t="shared" si="3"/>
        <v>0</v>
      </c>
      <c r="R51" s="70">
        <f t="shared" si="4"/>
        <v>0</v>
      </c>
      <c r="S51" s="70">
        <f t="shared" si="5"/>
        <v>0</v>
      </c>
      <c r="T51" s="70">
        <f t="shared" si="6"/>
        <v>0</v>
      </c>
      <c r="U51" s="70">
        <f t="shared" si="7"/>
        <v>0</v>
      </c>
      <c r="V51" s="70">
        <f t="shared" si="8"/>
        <v>0</v>
      </c>
      <c r="W51" s="345">
        <f t="shared" si="9"/>
        <v>0</v>
      </c>
      <c r="X51" s="345">
        <f t="shared" si="10"/>
        <v>0</v>
      </c>
      <c r="Y51" s="85"/>
      <c r="Z51" s="85">
        <v>1</v>
      </c>
      <c r="AA51" s="85">
        <v>1</v>
      </c>
      <c r="AB51" s="86">
        <f t="shared" si="11"/>
        <v>0</v>
      </c>
      <c r="AC51" s="86">
        <f t="shared" si="12"/>
        <v>0</v>
      </c>
    </row>
    <row r="52" spans="1:29" ht="21" x14ac:dyDescent="0.25">
      <c r="A52" s="85" t="s">
        <v>236</v>
      </c>
      <c r="B52" s="85" t="s">
        <v>71</v>
      </c>
      <c r="C52" s="85" t="s">
        <v>49</v>
      </c>
      <c r="D52" s="111"/>
      <c r="E52" s="111"/>
      <c r="F52" s="85">
        <v>600</v>
      </c>
      <c r="G52" s="85"/>
      <c r="H52" s="85">
        <v>2.8</v>
      </c>
      <c r="I52" s="85">
        <v>17</v>
      </c>
      <c r="J52" s="85">
        <v>6.8</v>
      </c>
      <c r="K52" s="85">
        <v>11.9</v>
      </c>
      <c r="L52" s="85">
        <v>24</v>
      </c>
      <c r="M52" s="85">
        <v>103</v>
      </c>
      <c r="N52" s="85">
        <v>41.2</v>
      </c>
      <c r="O52" s="85">
        <v>115.1</v>
      </c>
      <c r="P52" s="85">
        <f t="shared" si="2"/>
        <v>120</v>
      </c>
      <c r="Q52" s="50">
        <f t="shared" si="3"/>
        <v>0</v>
      </c>
      <c r="R52" s="70">
        <f t="shared" si="4"/>
        <v>0</v>
      </c>
      <c r="S52" s="70">
        <f t="shared" si="5"/>
        <v>0</v>
      </c>
      <c r="T52" s="70">
        <f t="shared" si="6"/>
        <v>0</v>
      </c>
      <c r="U52" s="70">
        <f t="shared" si="7"/>
        <v>0</v>
      </c>
      <c r="V52" s="70">
        <f t="shared" si="8"/>
        <v>0</v>
      </c>
      <c r="W52" s="345">
        <f t="shared" si="9"/>
        <v>0</v>
      </c>
      <c r="X52" s="345">
        <f t="shared" si="10"/>
        <v>0</v>
      </c>
      <c r="Y52" s="85"/>
      <c r="Z52" s="85">
        <v>1</v>
      </c>
      <c r="AA52" s="85">
        <v>1</v>
      </c>
      <c r="AB52" s="86">
        <f t="shared" si="11"/>
        <v>0</v>
      </c>
      <c r="AC52" s="86">
        <f t="shared" si="12"/>
        <v>0</v>
      </c>
    </row>
    <row r="53" spans="1:29" ht="21" x14ac:dyDescent="0.25">
      <c r="A53" s="85" t="s">
        <v>236</v>
      </c>
      <c r="B53" s="85" t="s">
        <v>71</v>
      </c>
      <c r="C53" s="85" t="s">
        <v>126</v>
      </c>
      <c r="D53" s="111"/>
      <c r="E53" s="111"/>
      <c r="F53" s="85">
        <v>600</v>
      </c>
      <c r="G53" s="85"/>
      <c r="H53" s="85"/>
      <c r="I53" s="85"/>
      <c r="J53" s="85"/>
      <c r="K53" s="85"/>
      <c r="L53" s="85">
        <v>26.8</v>
      </c>
      <c r="M53" s="85">
        <v>120</v>
      </c>
      <c r="N53" s="85">
        <v>48</v>
      </c>
      <c r="O53" s="85">
        <v>127</v>
      </c>
      <c r="P53" s="85">
        <f t="shared" si="2"/>
        <v>120</v>
      </c>
      <c r="Q53" s="50">
        <f t="shared" si="3"/>
        <v>0</v>
      </c>
      <c r="R53" s="70">
        <f t="shared" si="4"/>
        <v>0</v>
      </c>
      <c r="S53" s="70">
        <f t="shared" si="5"/>
        <v>0</v>
      </c>
      <c r="T53" s="70">
        <f t="shared" si="6"/>
        <v>0</v>
      </c>
      <c r="U53" s="70">
        <f t="shared" si="7"/>
        <v>0</v>
      </c>
      <c r="V53" s="70">
        <f t="shared" si="8"/>
        <v>0</v>
      </c>
      <c r="W53" s="345">
        <f t="shared" si="9"/>
        <v>0</v>
      </c>
      <c r="X53" s="345">
        <f t="shared" si="10"/>
        <v>0</v>
      </c>
      <c r="Y53" s="85"/>
      <c r="Z53" s="85">
        <v>1</v>
      </c>
      <c r="AA53" s="85">
        <v>1</v>
      </c>
      <c r="AB53" s="86">
        <f t="shared" si="11"/>
        <v>0</v>
      </c>
      <c r="AC53" s="86">
        <f t="shared" si="12"/>
        <v>0</v>
      </c>
    </row>
    <row r="54" spans="1:29" ht="21" x14ac:dyDescent="0.25">
      <c r="A54" s="85" t="s">
        <v>236</v>
      </c>
      <c r="B54" s="85" t="s">
        <v>71</v>
      </c>
      <c r="C54" s="85" t="s">
        <v>58</v>
      </c>
      <c r="D54" s="111"/>
      <c r="E54" s="111"/>
      <c r="F54" s="85">
        <v>600</v>
      </c>
      <c r="G54" s="85"/>
      <c r="H54" s="85">
        <v>13</v>
      </c>
      <c r="I54" s="85">
        <v>61</v>
      </c>
      <c r="J54" s="85">
        <v>24.4</v>
      </c>
      <c r="K54" s="85">
        <v>40.9</v>
      </c>
      <c r="L54" s="85">
        <v>27.4</v>
      </c>
      <c r="M54" s="85">
        <v>59</v>
      </c>
      <c r="N54" s="85">
        <v>23.6</v>
      </c>
      <c r="O54" s="85">
        <v>86.1</v>
      </c>
      <c r="P54" s="85">
        <f t="shared" si="2"/>
        <v>120</v>
      </c>
      <c r="Q54" s="50">
        <f t="shared" si="3"/>
        <v>0</v>
      </c>
      <c r="R54" s="70">
        <f t="shared" si="4"/>
        <v>0</v>
      </c>
      <c r="S54" s="70">
        <f t="shared" si="5"/>
        <v>0</v>
      </c>
      <c r="T54" s="70">
        <f t="shared" si="6"/>
        <v>0</v>
      </c>
      <c r="U54" s="70">
        <f t="shared" si="7"/>
        <v>0</v>
      </c>
      <c r="V54" s="70">
        <f t="shared" si="8"/>
        <v>0</v>
      </c>
      <c r="W54" s="345">
        <f t="shared" si="9"/>
        <v>0</v>
      </c>
      <c r="X54" s="345">
        <f t="shared" si="10"/>
        <v>0</v>
      </c>
      <c r="Y54" s="85"/>
      <c r="Z54" s="85">
        <v>1</v>
      </c>
      <c r="AA54" s="85">
        <v>1</v>
      </c>
      <c r="AB54" s="86">
        <f t="shared" si="11"/>
        <v>0</v>
      </c>
      <c r="AC54" s="86">
        <f t="shared" si="12"/>
        <v>0</v>
      </c>
    </row>
    <row r="55" spans="1:29" ht="21" x14ac:dyDescent="0.25">
      <c r="A55" s="85" t="s">
        <v>236</v>
      </c>
      <c r="B55" s="85" t="s">
        <v>71</v>
      </c>
      <c r="C55" s="85" t="s">
        <v>131</v>
      </c>
      <c r="D55" s="111"/>
      <c r="E55" s="111"/>
      <c r="F55" s="85">
        <v>600</v>
      </c>
      <c r="G55" s="85"/>
      <c r="H55" s="85"/>
      <c r="I55" s="85"/>
      <c r="J55" s="85"/>
      <c r="K55" s="85"/>
      <c r="L55" s="85">
        <v>40.4</v>
      </c>
      <c r="M55" s="85">
        <v>120</v>
      </c>
      <c r="N55" s="85">
        <v>48</v>
      </c>
      <c r="O55" s="85">
        <v>127</v>
      </c>
      <c r="P55" s="85">
        <f t="shared" si="2"/>
        <v>120</v>
      </c>
      <c r="Q55" s="50">
        <f t="shared" si="3"/>
        <v>0</v>
      </c>
      <c r="R55" s="70">
        <f t="shared" si="4"/>
        <v>0</v>
      </c>
      <c r="S55" s="70">
        <f t="shared" si="5"/>
        <v>0</v>
      </c>
      <c r="T55" s="70">
        <f t="shared" si="6"/>
        <v>0</v>
      </c>
      <c r="U55" s="70">
        <f t="shared" si="7"/>
        <v>0</v>
      </c>
      <c r="V55" s="70">
        <f t="shared" si="8"/>
        <v>0</v>
      </c>
      <c r="W55" s="345">
        <f t="shared" si="9"/>
        <v>0</v>
      </c>
      <c r="X55" s="345">
        <f t="shared" si="10"/>
        <v>0</v>
      </c>
      <c r="Y55" s="85"/>
      <c r="Z55" s="85">
        <v>1</v>
      </c>
      <c r="AA55" s="85">
        <v>1</v>
      </c>
      <c r="AB55" s="86">
        <f t="shared" si="11"/>
        <v>0</v>
      </c>
      <c r="AC55" s="86">
        <f t="shared" si="12"/>
        <v>0</v>
      </c>
    </row>
    <row r="56" spans="1:29" ht="21" x14ac:dyDescent="0.25">
      <c r="A56" s="85" t="s">
        <v>242</v>
      </c>
      <c r="B56" s="85" t="s">
        <v>69</v>
      </c>
      <c r="C56" s="85" t="s">
        <v>42</v>
      </c>
      <c r="D56" s="111"/>
      <c r="E56" s="111"/>
      <c r="F56" s="85">
        <v>650</v>
      </c>
      <c r="G56" s="85"/>
      <c r="H56" s="85">
        <v>6.3</v>
      </c>
      <c r="I56" s="85">
        <v>23.5</v>
      </c>
      <c r="J56" s="85">
        <v>9.4</v>
      </c>
      <c r="K56" s="85">
        <v>26.1</v>
      </c>
      <c r="L56" s="85">
        <v>24.3</v>
      </c>
      <c r="M56" s="85">
        <v>58</v>
      </c>
      <c r="N56" s="85">
        <v>23.2</v>
      </c>
      <c r="O56" s="85">
        <v>100.9</v>
      </c>
      <c r="P56" s="85">
        <f t="shared" si="2"/>
        <v>81.5</v>
      </c>
      <c r="Q56" s="50">
        <f t="shared" si="3"/>
        <v>0</v>
      </c>
      <c r="R56" s="70">
        <f t="shared" si="4"/>
        <v>0</v>
      </c>
      <c r="S56" s="70">
        <f t="shared" si="5"/>
        <v>0</v>
      </c>
      <c r="T56" s="70">
        <f t="shared" si="6"/>
        <v>0</v>
      </c>
      <c r="U56" s="70">
        <f t="shared" si="7"/>
        <v>0</v>
      </c>
      <c r="V56" s="70">
        <f t="shared" si="8"/>
        <v>0</v>
      </c>
      <c r="W56" s="345">
        <f t="shared" si="9"/>
        <v>0</v>
      </c>
      <c r="X56" s="345">
        <f t="shared" si="10"/>
        <v>0</v>
      </c>
      <c r="Y56" s="85"/>
      <c r="Z56" s="85">
        <v>1</v>
      </c>
      <c r="AA56" s="85">
        <v>1</v>
      </c>
      <c r="AB56" s="86">
        <f t="shared" si="11"/>
        <v>0</v>
      </c>
      <c r="AC56" s="86">
        <f t="shared" si="12"/>
        <v>0</v>
      </c>
    </row>
    <row r="57" spans="1:29" ht="21" x14ac:dyDescent="0.25">
      <c r="A57" s="85" t="s">
        <v>242</v>
      </c>
      <c r="B57" s="85" t="s">
        <v>69</v>
      </c>
      <c r="C57" s="85" t="s">
        <v>124</v>
      </c>
      <c r="D57" s="111"/>
      <c r="E57" s="111"/>
      <c r="F57" s="85">
        <v>650</v>
      </c>
      <c r="G57" s="85"/>
      <c r="H57" s="85"/>
      <c r="I57" s="85"/>
      <c r="J57" s="85"/>
      <c r="K57" s="85"/>
      <c r="L57" s="85">
        <v>30.6</v>
      </c>
      <c r="M57" s="85">
        <v>81.5</v>
      </c>
      <c r="N57" s="85">
        <v>32.6</v>
      </c>
      <c r="O57" s="85">
        <v>127</v>
      </c>
      <c r="P57" s="85">
        <f t="shared" si="2"/>
        <v>81.5</v>
      </c>
      <c r="Q57" s="50">
        <f t="shared" si="3"/>
        <v>0</v>
      </c>
      <c r="R57" s="70">
        <f t="shared" si="4"/>
        <v>0</v>
      </c>
      <c r="S57" s="70">
        <f t="shared" si="5"/>
        <v>0</v>
      </c>
      <c r="T57" s="70">
        <f t="shared" si="6"/>
        <v>0</v>
      </c>
      <c r="U57" s="70">
        <f t="shared" si="7"/>
        <v>0</v>
      </c>
      <c r="V57" s="70">
        <f t="shared" si="8"/>
        <v>0</v>
      </c>
      <c r="W57" s="345">
        <f t="shared" si="9"/>
        <v>0</v>
      </c>
      <c r="X57" s="345">
        <f t="shared" si="10"/>
        <v>0</v>
      </c>
      <c r="Y57" s="85"/>
      <c r="Z57" s="85">
        <v>1</v>
      </c>
      <c r="AA57" s="85">
        <v>1</v>
      </c>
      <c r="AB57" s="86">
        <f t="shared" si="11"/>
        <v>0</v>
      </c>
      <c r="AC57" s="86">
        <f t="shared" si="12"/>
        <v>0</v>
      </c>
    </row>
    <row r="58" spans="1:29" ht="21" x14ac:dyDescent="0.25">
      <c r="A58" s="85" t="s">
        <v>242</v>
      </c>
      <c r="B58" s="85" t="s">
        <v>69</v>
      </c>
      <c r="C58" s="85" t="s">
        <v>43</v>
      </c>
      <c r="D58" s="111"/>
      <c r="E58" s="111"/>
      <c r="F58" s="85">
        <v>650</v>
      </c>
      <c r="G58" s="85"/>
      <c r="H58" s="85">
        <v>23</v>
      </c>
      <c r="I58" s="85">
        <v>81.5</v>
      </c>
      <c r="J58" s="85">
        <v>32.6</v>
      </c>
      <c r="K58" s="85">
        <v>127</v>
      </c>
      <c r="L58" s="85"/>
      <c r="M58" s="85"/>
      <c r="N58" s="85"/>
      <c r="O58" s="85"/>
      <c r="P58" s="85">
        <f t="shared" si="2"/>
        <v>81.5</v>
      </c>
      <c r="Q58" s="50">
        <f t="shared" si="3"/>
        <v>0</v>
      </c>
      <c r="R58" s="70">
        <f t="shared" si="4"/>
        <v>0</v>
      </c>
      <c r="S58" s="70">
        <f t="shared" si="5"/>
        <v>0</v>
      </c>
      <c r="T58" s="70">
        <f t="shared" si="6"/>
        <v>0</v>
      </c>
      <c r="U58" s="70">
        <f t="shared" si="7"/>
        <v>0</v>
      </c>
      <c r="V58" s="70">
        <f t="shared" si="8"/>
        <v>0</v>
      </c>
      <c r="W58" s="345">
        <f t="shared" si="9"/>
        <v>0</v>
      </c>
      <c r="X58" s="345">
        <f t="shared" si="10"/>
        <v>0</v>
      </c>
      <c r="Y58" s="85"/>
      <c r="Z58" s="85">
        <v>1</v>
      </c>
      <c r="AA58" s="85">
        <v>1</v>
      </c>
      <c r="AB58" s="86">
        <f t="shared" si="11"/>
        <v>0</v>
      </c>
      <c r="AC58" s="86">
        <f t="shared" si="12"/>
        <v>0</v>
      </c>
    </row>
    <row r="59" spans="1:29" ht="21" x14ac:dyDescent="0.25">
      <c r="A59" s="85" t="s">
        <v>242</v>
      </c>
      <c r="B59" s="85" t="s">
        <v>69</v>
      </c>
      <c r="C59" s="85" t="s">
        <v>46</v>
      </c>
      <c r="D59" s="111"/>
      <c r="E59" s="111"/>
      <c r="F59" s="85">
        <v>650</v>
      </c>
      <c r="G59" s="85"/>
      <c r="H59" s="85">
        <v>14</v>
      </c>
      <c r="I59" s="85">
        <v>50</v>
      </c>
      <c r="J59" s="85">
        <v>20</v>
      </c>
      <c r="K59" s="85">
        <v>65.099999999999994</v>
      </c>
      <c r="L59" s="85">
        <v>13.2</v>
      </c>
      <c r="M59" s="85">
        <v>31.5</v>
      </c>
      <c r="N59" s="85">
        <v>12.6</v>
      </c>
      <c r="O59" s="85">
        <v>61.9</v>
      </c>
      <c r="P59" s="85">
        <f t="shared" si="2"/>
        <v>81.5</v>
      </c>
      <c r="Q59" s="50">
        <f t="shared" si="3"/>
        <v>0</v>
      </c>
      <c r="R59" s="70">
        <f t="shared" si="4"/>
        <v>0</v>
      </c>
      <c r="S59" s="70">
        <f t="shared" si="5"/>
        <v>0</v>
      </c>
      <c r="T59" s="70">
        <f t="shared" si="6"/>
        <v>0</v>
      </c>
      <c r="U59" s="70">
        <f t="shared" si="7"/>
        <v>0</v>
      </c>
      <c r="V59" s="70">
        <f t="shared" si="8"/>
        <v>0</v>
      </c>
      <c r="W59" s="345">
        <f t="shared" si="9"/>
        <v>0</v>
      </c>
      <c r="X59" s="345">
        <f t="shared" si="10"/>
        <v>0</v>
      </c>
      <c r="Y59" s="85"/>
      <c r="Z59" s="85">
        <v>1</v>
      </c>
      <c r="AA59" s="85">
        <v>1</v>
      </c>
      <c r="AB59" s="86">
        <f t="shared" si="11"/>
        <v>0</v>
      </c>
      <c r="AC59" s="86">
        <f t="shared" si="12"/>
        <v>0</v>
      </c>
    </row>
    <row r="60" spans="1:29" ht="21" x14ac:dyDescent="0.25">
      <c r="A60" s="85" t="s">
        <v>242</v>
      </c>
      <c r="B60" s="85" t="s">
        <v>69</v>
      </c>
      <c r="C60" s="85" t="s">
        <v>47</v>
      </c>
      <c r="D60" s="111"/>
      <c r="E60" s="111"/>
      <c r="F60" s="85">
        <v>650</v>
      </c>
      <c r="G60" s="85"/>
      <c r="H60" s="85">
        <v>9.1</v>
      </c>
      <c r="I60" s="85">
        <v>40</v>
      </c>
      <c r="J60" s="85">
        <v>16</v>
      </c>
      <c r="K60" s="85">
        <v>42</v>
      </c>
      <c r="L60" s="85">
        <v>18.5</v>
      </c>
      <c r="M60" s="85">
        <v>41.5</v>
      </c>
      <c r="N60" s="85">
        <v>16.600000000000001</v>
      </c>
      <c r="O60" s="85">
        <v>85</v>
      </c>
      <c r="P60" s="85">
        <f t="shared" si="2"/>
        <v>81.5</v>
      </c>
      <c r="Q60" s="50">
        <f t="shared" si="3"/>
        <v>0</v>
      </c>
      <c r="R60" s="70">
        <f t="shared" si="4"/>
        <v>0</v>
      </c>
      <c r="S60" s="70">
        <f t="shared" si="5"/>
        <v>0</v>
      </c>
      <c r="T60" s="70">
        <f t="shared" si="6"/>
        <v>0</v>
      </c>
      <c r="U60" s="70">
        <f t="shared" si="7"/>
        <v>0</v>
      </c>
      <c r="V60" s="70">
        <f t="shared" si="8"/>
        <v>0</v>
      </c>
      <c r="W60" s="345">
        <f t="shared" si="9"/>
        <v>0</v>
      </c>
      <c r="X60" s="345">
        <f t="shared" si="10"/>
        <v>0</v>
      </c>
      <c r="Y60" s="85"/>
      <c r="Z60" s="85">
        <v>1</v>
      </c>
      <c r="AA60" s="85">
        <v>1</v>
      </c>
      <c r="AB60" s="86">
        <f t="shared" si="11"/>
        <v>0</v>
      </c>
      <c r="AC60" s="86">
        <f t="shared" si="12"/>
        <v>0</v>
      </c>
    </row>
    <row r="61" spans="1:29" ht="31.5" x14ac:dyDescent="0.25">
      <c r="A61" s="85" t="s">
        <v>242</v>
      </c>
      <c r="B61" s="85" t="s">
        <v>69</v>
      </c>
      <c r="C61" s="85" t="s">
        <v>48</v>
      </c>
      <c r="D61" s="111"/>
      <c r="E61" s="111"/>
      <c r="F61" s="85">
        <v>650</v>
      </c>
      <c r="G61" s="85"/>
      <c r="H61" s="85">
        <v>6.3</v>
      </c>
      <c r="I61" s="85">
        <v>21.2</v>
      </c>
      <c r="J61" s="85">
        <v>8.5</v>
      </c>
      <c r="K61" s="85">
        <v>28.9</v>
      </c>
      <c r="L61" s="85">
        <v>21.5</v>
      </c>
      <c r="M61" s="85">
        <v>60.3</v>
      </c>
      <c r="N61" s="85">
        <v>24.1</v>
      </c>
      <c r="O61" s="85">
        <v>98.1</v>
      </c>
      <c r="P61" s="85">
        <f t="shared" si="2"/>
        <v>81.5</v>
      </c>
      <c r="Q61" s="50">
        <f t="shared" si="3"/>
        <v>0</v>
      </c>
      <c r="R61" s="70">
        <f t="shared" si="4"/>
        <v>0</v>
      </c>
      <c r="S61" s="70">
        <f t="shared" si="5"/>
        <v>0</v>
      </c>
      <c r="T61" s="70">
        <f t="shared" si="6"/>
        <v>0</v>
      </c>
      <c r="U61" s="70">
        <f t="shared" si="7"/>
        <v>0</v>
      </c>
      <c r="V61" s="70">
        <f t="shared" si="8"/>
        <v>0</v>
      </c>
      <c r="W61" s="345">
        <f t="shared" si="9"/>
        <v>0</v>
      </c>
      <c r="X61" s="345">
        <f t="shared" si="10"/>
        <v>0</v>
      </c>
      <c r="Y61" s="85"/>
      <c r="Z61" s="85">
        <v>1</v>
      </c>
      <c r="AA61" s="85">
        <v>1</v>
      </c>
      <c r="AB61" s="86">
        <f t="shared" si="11"/>
        <v>0</v>
      </c>
      <c r="AC61" s="86">
        <f t="shared" si="12"/>
        <v>0</v>
      </c>
    </row>
    <row r="62" spans="1:29" ht="31.5" x14ac:dyDescent="0.25">
      <c r="A62" s="85" t="s">
        <v>242</v>
      </c>
      <c r="B62" s="85" t="s">
        <v>69</v>
      </c>
      <c r="C62" s="85" t="s">
        <v>130</v>
      </c>
      <c r="D62" s="111"/>
      <c r="E62" s="111"/>
      <c r="F62" s="85">
        <v>650</v>
      </c>
      <c r="G62" s="85"/>
      <c r="H62" s="85"/>
      <c r="I62" s="85"/>
      <c r="J62" s="85"/>
      <c r="K62" s="85"/>
      <c r="L62" s="85">
        <v>27.8</v>
      </c>
      <c r="M62" s="85">
        <v>81.5</v>
      </c>
      <c r="N62" s="85">
        <v>32.6</v>
      </c>
      <c r="O62" s="85">
        <v>127</v>
      </c>
      <c r="P62" s="85">
        <f t="shared" si="2"/>
        <v>81.5</v>
      </c>
      <c r="Q62" s="50">
        <f t="shared" si="3"/>
        <v>0</v>
      </c>
      <c r="R62" s="70">
        <f t="shared" si="4"/>
        <v>0</v>
      </c>
      <c r="S62" s="70">
        <f t="shared" si="5"/>
        <v>0</v>
      </c>
      <c r="T62" s="70">
        <f t="shared" si="6"/>
        <v>0</v>
      </c>
      <c r="U62" s="70">
        <f t="shared" si="7"/>
        <v>0</v>
      </c>
      <c r="V62" s="70">
        <f t="shared" si="8"/>
        <v>0</v>
      </c>
      <c r="W62" s="345">
        <f t="shared" si="9"/>
        <v>0</v>
      </c>
      <c r="X62" s="345">
        <f t="shared" si="10"/>
        <v>0</v>
      </c>
      <c r="Y62" s="85"/>
      <c r="Z62" s="85">
        <v>1</v>
      </c>
      <c r="AA62" s="85">
        <v>1</v>
      </c>
      <c r="AB62" s="86">
        <f t="shared" si="11"/>
        <v>0</v>
      </c>
      <c r="AC62" s="86">
        <f t="shared" si="12"/>
        <v>0</v>
      </c>
    </row>
    <row r="63" spans="1:29" ht="21" x14ac:dyDescent="0.25">
      <c r="A63" s="85" t="s">
        <v>242</v>
      </c>
      <c r="B63" s="85" t="s">
        <v>69</v>
      </c>
      <c r="C63" s="85" t="s">
        <v>45</v>
      </c>
      <c r="D63" s="111"/>
      <c r="E63" s="111"/>
      <c r="F63" s="85">
        <v>650</v>
      </c>
      <c r="G63" s="85"/>
      <c r="H63" s="85">
        <v>23</v>
      </c>
      <c r="I63" s="85">
        <v>81.5</v>
      </c>
      <c r="J63" s="85">
        <v>32.6</v>
      </c>
      <c r="K63" s="85">
        <v>127</v>
      </c>
      <c r="L63" s="85"/>
      <c r="M63" s="85"/>
      <c r="N63" s="85"/>
      <c r="O63" s="85"/>
      <c r="P63" s="85">
        <f t="shared" si="2"/>
        <v>81.5</v>
      </c>
      <c r="Q63" s="50">
        <f t="shared" si="3"/>
        <v>0</v>
      </c>
      <c r="R63" s="70">
        <f t="shared" si="4"/>
        <v>0</v>
      </c>
      <c r="S63" s="70">
        <f t="shared" si="5"/>
        <v>0</v>
      </c>
      <c r="T63" s="70">
        <f t="shared" si="6"/>
        <v>0</v>
      </c>
      <c r="U63" s="70">
        <f t="shared" si="7"/>
        <v>0</v>
      </c>
      <c r="V63" s="70">
        <f t="shared" si="8"/>
        <v>0</v>
      </c>
      <c r="W63" s="345">
        <f t="shared" si="9"/>
        <v>0</v>
      </c>
      <c r="X63" s="345">
        <f t="shared" si="10"/>
        <v>0</v>
      </c>
      <c r="Y63" s="85"/>
      <c r="Z63" s="85">
        <v>1</v>
      </c>
      <c r="AA63" s="85">
        <v>1</v>
      </c>
      <c r="AB63" s="86">
        <f t="shared" si="11"/>
        <v>0</v>
      </c>
      <c r="AC63" s="86">
        <f t="shared" si="12"/>
        <v>0</v>
      </c>
    </row>
    <row r="64" spans="1:29" ht="21" x14ac:dyDescent="0.25">
      <c r="A64" s="85" t="s">
        <v>242</v>
      </c>
      <c r="B64" s="85" t="s">
        <v>69</v>
      </c>
      <c r="C64" s="85" t="s">
        <v>49</v>
      </c>
      <c r="D64" s="111"/>
      <c r="E64" s="111"/>
      <c r="F64" s="85">
        <v>650</v>
      </c>
      <c r="G64" s="85"/>
      <c r="H64" s="85">
        <v>6.3</v>
      </c>
      <c r="I64" s="85">
        <v>23.5</v>
      </c>
      <c r="J64" s="85">
        <v>9.4</v>
      </c>
      <c r="K64" s="85">
        <v>24.8</v>
      </c>
      <c r="L64" s="85">
        <v>26</v>
      </c>
      <c r="M64" s="85">
        <v>58</v>
      </c>
      <c r="N64" s="85">
        <v>23.2</v>
      </c>
      <c r="O64" s="85">
        <v>102.2</v>
      </c>
      <c r="P64" s="85">
        <f t="shared" si="2"/>
        <v>81.5</v>
      </c>
      <c r="Q64" s="50">
        <f t="shared" si="3"/>
        <v>0</v>
      </c>
      <c r="R64" s="70">
        <f t="shared" si="4"/>
        <v>0</v>
      </c>
      <c r="S64" s="70">
        <f t="shared" si="5"/>
        <v>0</v>
      </c>
      <c r="T64" s="70">
        <f t="shared" si="6"/>
        <v>0</v>
      </c>
      <c r="U64" s="70">
        <f t="shared" si="7"/>
        <v>0</v>
      </c>
      <c r="V64" s="70">
        <f t="shared" si="8"/>
        <v>0</v>
      </c>
      <c r="W64" s="345">
        <f t="shared" si="9"/>
        <v>0</v>
      </c>
      <c r="X64" s="345">
        <f t="shared" si="10"/>
        <v>0</v>
      </c>
      <c r="Y64" s="85"/>
      <c r="Z64" s="85">
        <v>1</v>
      </c>
      <c r="AA64" s="85">
        <v>1</v>
      </c>
      <c r="AB64" s="86">
        <f t="shared" si="11"/>
        <v>0</v>
      </c>
      <c r="AC64" s="86">
        <f t="shared" si="12"/>
        <v>0</v>
      </c>
    </row>
    <row r="65" spans="1:29" ht="21" x14ac:dyDescent="0.25">
      <c r="A65" s="85" t="s">
        <v>242</v>
      </c>
      <c r="B65" s="85" t="s">
        <v>69</v>
      </c>
      <c r="C65" s="85" t="s">
        <v>126</v>
      </c>
      <c r="D65" s="111"/>
      <c r="E65" s="111"/>
      <c r="F65" s="85">
        <v>650</v>
      </c>
      <c r="G65" s="85"/>
      <c r="H65" s="85"/>
      <c r="I65" s="85"/>
      <c r="J65" s="85"/>
      <c r="K65" s="85"/>
      <c r="L65" s="85">
        <v>32.299999999999997</v>
      </c>
      <c r="M65" s="85">
        <v>81.5</v>
      </c>
      <c r="N65" s="85">
        <v>32.6</v>
      </c>
      <c r="O65" s="85">
        <v>127</v>
      </c>
      <c r="P65" s="85">
        <f t="shared" si="2"/>
        <v>81.5</v>
      </c>
      <c r="Q65" s="50">
        <f t="shared" si="3"/>
        <v>0</v>
      </c>
      <c r="R65" s="70">
        <f t="shared" si="4"/>
        <v>0</v>
      </c>
      <c r="S65" s="70">
        <f t="shared" si="5"/>
        <v>0</v>
      </c>
      <c r="T65" s="70">
        <f t="shared" si="6"/>
        <v>0</v>
      </c>
      <c r="U65" s="70">
        <f t="shared" si="7"/>
        <v>0</v>
      </c>
      <c r="V65" s="70">
        <f t="shared" si="8"/>
        <v>0</v>
      </c>
      <c r="W65" s="345">
        <f t="shared" si="9"/>
        <v>0</v>
      </c>
      <c r="X65" s="345">
        <f t="shared" si="10"/>
        <v>0</v>
      </c>
      <c r="Y65" s="85"/>
      <c r="Z65" s="85">
        <v>1</v>
      </c>
      <c r="AA65" s="85">
        <v>1</v>
      </c>
      <c r="AB65" s="86">
        <f t="shared" si="11"/>
        <v>0</v>
      </c>
      <c r="AC65" s="86">
        <f t="shared" si="12"/>
        <v>0</v>
      </c>
    </row>
    <row r="66" spans="1:29" ht="21" x14ac:dyDescent="0.25">
      <c r="A66" s="85" t="s">
        <v>242</v>
      </c>
      <c r="B66" s="85" t="s">
        <v>69</v>
      </c>
      <c r="C66" s="85" t="s">
        <v>44</v>
      </c>
      <c r="D66" s="111"/>
      <c r="E66" s="111"/>
      <c r="F66" s="85">
        <v>650</v>
      </c>
      <c r="G66" s="85"/>
      <c r="H66" s="85">
        <v>10.3</v>
      </c>
      <c r="I66" s="85">
        <v>36.5</v>
      </c>
      <c r="J66" s="85">
        <v>14.6</v>
      </c>
      <c r="K66" s="85">
        <v>31.1</v>
      </c>
      <c r="L66" s="85">
        <v>31.5</v>
      </c>
      <c r="M66" s="85">
        <v>45</v>
      </c>
      <c r="N66" s="85">
        <v>18</v>
      </c>
      <c r="O66" s="85">
        <v>95.9</v>
      </c>
      <c r="P66" s="85">
        <f t="shared" si="2"/>
        <v>81.5</v>
      </c>
      <c r="Q66" s="50">
        <f t="shared" si="3"/>
        <v>0</v>
      </c>
      <c r="R66" s="70">
        <f t="shared" si="4"/>
        <v>0</v>
      </c>
      <c r="S66" s="70">
        <f t="shared" si="5"/>
        <v>0</v>
      </c>
      <c r="T66" s="70">
        <f t="shared" si="6"/>
        <v>0</v>
      </c>
      <c r="U66" s="70">
        <f t="shared" si="7"/>
        <v>0</v>
      </c>
      <c r="V66" s="70">
        <f t="shared" si="8"/>
        <v>0</v>
      </c>
      <c r="W66" s="345">
        <f t="shared" si="9"/>
        <v>0</v>
      </c>
      <c r="X66" s="345">
        <f t="shared" si="10"/>
        <v>0</v>
      </c>
      <c r="Y66" s="85"/>
      <c r="Z66" s="85">
        <v>1</v>
      </c>
      <c r="AA66" s="85">
        <v>1</v>
      </c>
      <c r="AB66" s="86">
        <f t="shared" si="11"/>
        <v>0</v>
      </c>
      <c r="AC66" s="86">
        <f t="shared" si="12"/>
        <v>0</v>
      </c>
    </row>
    <row r="67" spans="1:29" ht="21" x14ac:dyDescent="0.25">
      <c r="A67" s="166" t="s">
        <v>242</v>
      </c>
      <c r="B67" s="166" t="s">
        <v>68</v>
      </c>
      <c r="C67" s="166" t="s">
        <v>50</v>
      </c>
      <c r="D67" s="167"/>
      <c r="E67" s="167"/>
      <c r="F67" s="166">
        <v>650</v>
      </c>
      <c r="G67" s="166">
        <v>1.83</v>
      </c>
      <c r="H67" s="166"/>
      <c r="I67" s="166">
        <v>0</v>
      </c>
      <c r="J67" s="166"/>
      <c r="K67" s="166"/>
      <c r="L67" s="166"/>
      <c r="M67" s="166"/>
      <c r="N67" s="166"/>
      <c r="O67" s="166"/>
      <c r="P67" s="166">
        <f t="shared" si="2"/>
        <v>0</v>
      </c>
      <c r="Q67" s="168">
        <f t="shared" si="3"/>
        <v>0</v>
      </c>
      <c r="R67" s="165">
        <f>(D67*F67/1000*G67)+Q67</f>
        <v>0</v>
      </c>
      <c r="S67" s="165">
        <f t="shared" si="5"/>
        <v>0</v>
      </c>
      <c r="T67" s="165">
        <f t="shared" si="6"/>
        <v>0</v>
      </c>
      <c r="U67" s="165">
        <f t="shared" si="7"/>
        <v>0</v>
      </c>
      <c r="V67" s="165"/>
      <c r="W67" s="165">
        <f t="shared" si="9"/>
        <v>0</v>
      </c>
      <c r="X67" s="165">
        <f t="shared" si="10"/>
        <v>0</v>
      </c>
      <c r="Y67" s="166"/>
      <c r="Z67" s="166">
        <v>1</v>
      </c>
      <c r="AA67" s="166">
        <v>1</v>
      </c>
      <c r="AB67" s="169"/>
      <c r="AC67" s="169"/>
    </row>
    <row r="68" spans="1:29" ht="21" x14ac:dyDescent="0.25">
      <c r="A68" s="166" t="s">
        <v>242</v>
      </c>
      <c r="B68" s="166" t="s">
        <v>68</v>
      </c>
      <c r="C68" s="166" t="s">
        <v>468</v>
      </c>
      <c r="D68" s="167"/>
      <c r="E68" s="167"/>
      <c r="F68" s="166">
        <v>650</v>
      </c>
      <c r="G68" s="166">
        <v>5.7</v>
      </c>
      <c r="H68" s="166"/>
      <c r="I68" s="166">
        <v>0</v>
      </c>
      <c r="J68" s="166"/>
      <c r="K68" s="166"/>
      <c r="L68" s="166"/>
      <c r="M68" s="166"/>
      <c r="N68" s="166"/>
      <c r="O68" s="166"/>
      <c r="P68" s="166">
        <f t="shared" si="2"/>
        <v>0</v>
      </c>
      <c r="Q68" s="168">
        <f t="shared" si="3"/>
        <v>0</v>
      </c>
      <c r="R68" s="165">
        <f>(D68*F68/1000*G68)+Q68</f>
        <v>0</v>
      </c>
      <c r="S68" s="165">
        <f t="shared" si="5"/>
        <v>0</v>
      </c>
      <c r="T68" s="165">
        <f t="shared" si="6"/>
        <v>0</v>
      </c>
      <c r="U68" s="165">
        <f t="shared" si="7"/>
        <v>0</v>
      </c>
      <c r="V68" s="165"/>
      <c r="W68" s="165">
        <f t="shared" si="9"/>
        <v>0</v>
      </c>
      <c r="X68" s="165">
        <f t="shared" si="10"/>
        <v>0</v>
      </c>
      <c r="Y68" s="166"/>
      <c r="Z68" s="166">
        <v>1</v>
      </c>
      <c r="AA68" s="166">
        <v>1</v>
      </c>
      <c r="AB68" s="169"/>
      <c r="AC68" s="169"/>
    </row>
    <row r="69" spans="1:29" ht="21" x14ac:dyDescent="0.25">
      <c r="A69" s="166" t="s">
        <v>242</v>
      </c>
      <c r="B69" s="166" t="s">
        <v>68</v>
      </c>
      <c r="C69" s="166" t="s">
        <v>52</v>
      </c>
      <c r="D69" s="167"/>
      <c r="E69" s="167"/>
      <c r="F69" s="166">
        <v>650</v>
      </c>
      <c r="G69" s="166">
        <v>21.9</v>
      </c>
      <c r="H69" s="166"/>
      <c r="I69" s="166">
        <v>0</v>
      </c>
      <c r="J69" s="166"/>
      <c r="K69" s="166"/>
      <c r="L69" s="166"/>
      <c r="M69" s="166"/>
      <c r="N69" s="166"/>
      <c r="O69" s="166"/>
      <c r="P69" s="166">
        <f t="shared" si="2"/>
        <v>0</v>
      </c>
      <c r="Q69" s="168">
        <f t="shared" si="3"/>
        <v>0</v>
      </c>
      <c r="R69" s="165">
        <f>(D69*F69/1000*G69)+Q69</f>
        <v>0</v>
      </c>
      <c r="S69" s="165">
        <f t="shared" si="5"/>
        <v>0</v>
      </c>
      <c r="T69" s="165">
        <f t="shared" si="6"/>
        <v>0</v>
      </c>
      <c r="U69" s="165">
        <f t="shared" si="7"/>
        <v>0</v>
      </c>
      <c r="V69" s="165"/>
      <c r="W69" s="165">
        <f t="shared" si="9"/>
        <v>0</v>
      </c>
      <c r="X69" s="165">
        <f t="shared" si="10"/>
        <v>0</v>
      </c>
      <c r="Y69" s="166"/>
      <c r="Z69" s="166">
        <v>1</v>
      </c>
      <c r="AA69" s="166">
        <v>1</v>
      </c>
      <c r="AB69" s="169"/>
      <c r="AC69" s="169"/>
    </row>
    <row r="70" spans="1:29" ht="21" x14ac:dyDescent="0.25">
      <c r="A70" s="166" t="s">
        <v>242</v>
      </c>
      <c r="B70" s="166" t="s">
        <v>68</v>
      </c>
      <c r="C70" s="166" t="s">
        <v>51</v>
      </c>
      <c r="D70" s="167"/>
      <c r="E70" s="167"/>
      <c r="F70" s="166">
        <v>650</v>
      </c>
      <c r="G70" s="166">
        <v>9.1300000000000008</v>
      </c>
      <c r="H70" s="166"/>
      <c r="I70" s="166">
        <v>0</v>
      </c>
      <c r="J70" s="166"/>
      <c r="K70" s="166"/>
      <c r="L70" s="166"/>
      <c r="M70" s="166"/>
      <c r="N70" s="166"/>
      <c r="O70" s="166"/>
      <c r="P70" s="166">
        <f t="shared" si="2"/>
        <v>0</v>
      </c>
      <c r="Q70" s="168">
        <f t="shared" si="3"/>
        <v>0</v>
      </c>
      <c r="R70" s="165">
        <f>(D70*F70/1000*G70)+Q70</f>
        <v>0</v>
      </c>
      <c r="S70" s="165">
        <f t="shared" si="5"/>
        <v>0</v>
      </c>
      <c r="T70" s="165">
        <f t="shared" si="6"/>
        <v>0</v>
      </c>
      <c r="U70" s="165">
        <f t="shared" si="7"/>
        <v>0</v>
      </c>
      <c r="V70" s="165"/>
      <c r="W70" s="165">
        <f t="shared" si="9"/>
        <v>0</v>
      </c>
      <c r="X70" s="165">
        <f t="shared" si="10"/>
        <v>0</v>
      </c>
      <c r="Y70" s="166"/>
      <c r="Z70" s="166">
        <v>1</v>
      </c>
      <c r="AA70" s="166">
        <v>1</v>
      </c>
      <c r="AB70" s="169"/>
      <c r="AC70" s="169"/>
    </row>
    <row r="71" spans="1:29" ht="21" x14ac:dyDescent="0.25">
      <c r="A71" s="85" t="s">
        <v>242</v>
      </c>
      <c r="B71" s="85" t="s">
        <v>68</v>
      </c>
      <c r="C71" s="85" t="s">
        <v>42</v>
      </c>
      <c r="D71" s="111"/>
      <c r="E71" s="111"/>
      <c r="F71" s="85">
        <v>650</v>
      </c>
      <c r="G71" s="85"/>
      <c r="H71" s="85">
        <v>6.3</v>
      </c>
      <c r="I71" s="85">
        <v>23.5</v>
      </c>
      <c r="J71" s="85">
        <v>9.4</v>
      </c>
      <c r="K71" s="85">
        <v>26.1</v>
      </c>
      <c r="L71" s="85">
        <v>24.3</v>
      </c>
      <c r="M71" s="85">
        <v>58</v>
      </c>
      <c r="N71" s="85">
        <v>23.2</v>
      </c>
      <c r="O71" s="85">
        <v>100.9</v>
      </c>
      <c r="P71" s="85">
        <f t="shared" si="2"/>
        <v>81.5</v>
      </c>
      <c r="Q71" s="50">
        <f t="shared" si="3"/>
        <v>0</v>
      </c>
      <c r="R71" s="70">
        <f t="shared" si="4"/>
        <v>0</v>
      </c>
      <c r="S71" s="70">
        <f t="shared" si="5"/>
        <v>0</v>
      </c>
      <c r="T71" s="70">
        <f t="shared" si="6"/>
        <v>0</v>
      </c>
      <c r="U71" s="70">
        <f t="shared" si="7"/>
        <v>0</v>
      </c>
      <c r="V71" s="70">
        <f t="shared" si="8"/>
        <v>0</v>
      </c>
      <c r="W71" s="345">
        <f t="shared" si="9"/>
        <v>0</v>
      </c>
      <c r="X71" s="345">
        <f t="shared" si="10"/>
        <v>0</v>
      </c>
      <c r="Y71" s="85"/>
      <c r="Z71" s="85">
        <v>1</v>
      </c>
      <c r="AA71" s="85">
        <v>1</v>
      </c>
      <c r="AB71" s="86">
        <f t="shared" si="11"/>
        <v>0</v>
      </c>
      <c r="AC71" s="86">
        <f t="shared" si="12"/>
        <v>0</v>
      </c>
    </row>
    <row r="72" spans="1:29" ht="21" x14ac:dyDescent="0.25">
      <c r="A72" s="85" t="s">
        <v>242</v>
      </c>
      <c r="B72" s="85" t="s">
        <v>68</v>
      </c>
      <c r="C72" s="85" t="s">
        <v>124</v>
      </c>
      <c r="D72" s="111"/>
      <c r="E72" s="111"/>
      <c r="F72" s="85">
        <v>650</v>
      </c>
      <c r="G72" s="85"/>
      <c r="H72" s="85"/>
      <c r="I72" s="85"/>
      <c r="J72" s="85"/>
      <c r="K72" s="85"/>
      <c r="L72" s="85">
        <v>30.6</v>
      </c>
      <c r="M72" s="85">
        <v>81.5</v>
      </c>
      <c r="N72" s="85">
        <v>32.6</v>
      </c>
      <c r="O72" s="85">
        <v>127</v>
      </c>
      <c r="P72" s="85">
        <f t="shared" si="2"/>
        <v>81.5</v>
      </c>
      <c r="Q72" s="50">
        <f t="shared" si="3"/>
        <v>0</v>
      </c>
      <c r="R72" s="70">
        <f t="shared" si="4"/>
        <v>0</v>
      </c>
      <c r="S72" s="70">
        <f t="shared" si="5"/>
        <v>0</v>
      </c>
      <c r="T72" s="70">
        <f t="shared" si="6"/>
        <v>0</v>
      </c>
      <c r="U72" s="70">
        <f t="shared" si="7"/>
        <v>0</v>
      </c>
      <c r="V72" s="70">
        <f t="shared" si="8"/>
        <v>0</v>
      </c>
      <c r="W72" s="345">
        <f t="shared" si="9"/>
        <v>0</v>
      </c>
      <c r="X72" s="345">
        <f t="shared" si="10"/>
        <v>0</v>
      </c>
      <c r="Y72" s="85"/>
      <c r="Z72" s="85">
        <v>1</v>
      </c>
      <c r="AA72" s="85">
        <v>1</v>
      </c>
      <c r="AB72" s="86">
        <f t="shared" si="11"/>
        <v>0</v>
      </c>
      <c r="AC72" s="86">
        <f t="shared" si="12"/>
        <v>0</v>
      </c>
    </row>
    <row r="73" spans="1:29" ht="21" x14ac:dyDescent="0.25">
      <c r="A73" s="85" t="s">
        <v>242</v>
      </c>
      <c r="B73" s="85" t="s">
        <v>68</v>
      </c>
      <c r="C73" s="85" t="s">
        <v>43</v>
      </c>
      <c r="D73" s="111"/>
      <c r="E73" s="111"/>
      <c r="F73" s="85">
        <v>650</v>
      </c>
      <c r="G73" s="85"/>
      <c r="H73" s="85">
        <v>23</v>
      </c>
      <c r="I73" s="85">
        <v>81.5</v>
      </c>
      <c r="J73" s="85">
        <v>32.6</v>
      </c>
      <c r="K73" s="85">
        <v>127</v>
      </c>
      <c r="L73" s="85"/>
      <c r="M73" s="85"/>
      <c r="N73" s="85"/>
      <c r="O73" s="85"/>
      <c r="P73" s="85">
        <f t="shared" si="2"/>
        <v>81.5</v>
      </c>
      <c r="Q73" s="50">
        <f t="shared" si="3"/>
        <v>0</v>
      </c>
      <c r="R73" s="70">
        <f t="shared" si="4"/>
        <v>0</v>
      </c>
      <c r="S73" s="70">
        <f t="shared" si="5"/>
        <v>0</v>
      </c>
      <c r="T73" s="70">
        <f t="shared" si="6"/>
        <v>0</v>
      </c>
      <c r="U73" s="70">
        <f t="shared" si="7"/>
        <v>0</v>
      </c>
      <c r="V73" s="70">
        <f t="shared" si="8"/>
        <v>0</v>
      </c>
      <c r="W73" s="345">
        <f t="shared" si="9"/>
        <v>0</v>
      </c>
      <c r="X73" s="345">
        <f t="shared" si="10"/>
        <v>0</v>
      </c>
      <c r="Y73" s="85"/>
      <c r="Z73" s="85">
        <v>1</v>
      </c>
      <c r="AA73" s="85">
        <v>1</v>
      </c>
      <c r="AB73" s="86">
        <f t="shared" ref="AB73:AB92" si="13">Z73*D73</f>
        <v>0</v>
      </c>
      <c r="AC73" s="86">
        <f t="shared" ref="AC73:AC92" si="14">AA73*D73</f>
        <v>0</v>
      </c>
    </row>
    <row r="74" spans="1:29" ht="21" x14ac:dyDescent="0.25">
      <c r="A74" s="85" t="s">
        <v>242</v>
      </c>
      <c r="B74" s="85" t="s">
        <v>68</v>
      </c>
      <c r="C74" s="85" t="s">
        <v>46</v>
      </c>
      <c r="D74" s="111"/>
      <c r="E74" s="111"/>
      <c r="F74" s="85">
        <v>650</v>
      </c>
      <c r="G74" s="85"/>
      <c r="H74" s="85">
        <v>14</v>
      </c>
      <c r="I74" s="85">
        <v>50</v>
      </c>
      <c r="J74" s="85">
        <v>20</v>
      </c>
      <c r="K74" s="85">
        <v>65.099999999999994</v>
      </c>
      <c r="L74" s="85">
        <v>13.2</v>
      </c>
      <c r="M74" s="85">
        <v>31.5</v>
      </c>
      <c r="N74" s="85">
        <v>12.6</v>
      </c>
      <c r="O74" s="85">
        <v>61.9</v>
      </c>
      <c r="P74" s="85">
        <f t="shared" ref="P74:P92" si="15">I74+M74</f>
        <v>81.5</v>
      </c>
      <c r="Q74" s="50">
        <f t="shared" ref="Q74:Q92" si="16">IF(E74="SI", D74*F74/1000*L74, 0)</f>
        <v>0</v>
      </c>
      <c r="R74" s="70">
        <f t="shared" ref="R74:R92" si="17">(D74*F74/1000*H74)+Q74</f>
        <v>0</v>
      </c>
      <c r="S74" s="70">
        <f t="shared" ref="S74:S92" si="18">(D74*F74/1000*L74)-Q74</f>
        <v>0</v>
      </c>
      <c r="T74" s="70">
        <f t="shared" ref="T74:T92" si="19">IF(Q74=0,I74*D74*F74/1000,((I74*D74*F74/1000)+(M74*D74*F74/1000)))</f>
        <v>0</v>
      </c>
      <c r="U74" s="70">
        <f t="shared" ref="U74:U92" si="20">IF(Q74=0, M74*D74*F74/1000, 0)</f>
        <v>0</v>
      </c>
      <c r="V74" s="70">
        <f t="shared" ref="V74:V92" si="21">D74*F74/1000</f>
        <v>0</v>
      </c>
      <c r="W74" s="345">
        <f t="shared" ref="W74:W92" si="22">IF(Q74=0,D74*F74/1000*J74+D74*F74/1000*N74,(J74*D74*F74/1000)+(N74*D74*F74/1000))</f>
        <v>0</v>
      </c>
      <c r="X74" s="345">
        <f t="shared" ref="X74:X92" si="23">IF(Q74=0,D74*F74/1000*K74+D74*F74/1000*O74,(K74*D74*F74/1000)+(O74*D74*F74/1000))</f>
        <v>0</v>
      </c>
      <c r="Y74" s="85"/>
      <c r="Z74" s="85">
        <v>1</v>
      </c>
      <c r="AA74" s="85">
        <v>1</v>
      </c>
      <c r="AB74" s="86">
        <f t="shared" si="13"/>
        <v>0</v>
      </c>
      <c r="AC74" s="86">
        <f t="shared" si="14"/>
        <v>0</v>
      </c>
    </row>
    <row r="75" spans="1:29" ht="21" x14ac:dyDescent="0.25">
      <c r="A75" s="85" t="s">
        <v>242</v>
      </c>
      <c r="B75" s="85" t="s">
        <v>68</v>
      </c>
      <c r="C75" s="85" t="s">
        <v>47</v>
      </c>
      <c r="D75" s="111"/>
      <c r="E75" s="111"/>
      <c r="F75" s="85">
        <v>650</v>
      </c>
      <c r="G75" s="85"/>
      <c r="H75" s="85">
        <v>9.1</v>
      </c>
      <c r="I75" s="85">
        <v>40</v>
      </c>
      <c r="J75" s="85">
        <v>16</v>
      </c>
      <c r="K75" s="85">
        <v>42</v>
      </c>
      <c r="L75" s="85">
        <v>18.5</v>
      </c>
      <c r="M75" s="85">
        <v>41.5</v>
      </c>
      <c r="N75" s="85">
        <v>16.600000000000001</v>
      </c>
      <c r="O75" s="85">
        <v>85</v>
      </c>
      <c r="P75" s="85">
        <f t="shared" si="15"/>
        <v>81.5</v>
      </c>
      <c r="Q75" s="50">
        <f t="shared" si="16"/>
        <v>0</v>
      </c>
      <c r="R75" s="70">
        <f t="shared" si="17"/>
        <v>0</v>
      </c>
      <c r="S75" s="70">
        <f t="shared" si="18"/>
        <v>0</v>
      </c>
      <c r="T75" s="70">
        <f t="shared" si="19"/>
        <v>0</v>
      </c>
      <c r="U75" s="70">
        <f t="shared" si="20"/>
        <v>0</v>
      </c>
      <c r="V75" s="70">
        <f t="shared" si="21"/>
        <v>0</v>
      </c>
      <c r="W75" s="345">
        <f t="shared" si="22"/>
        <v>0</v>
      </c>
      <c r="X75" s="345">
        <f t="shared" si="23"/>
        <v>0</v>
      </c>
      <c r="Y75" s="85"/>
      <c r="Z75" s="85">
        <v>1</v>
      </c>
      <c r="AA75" s="85">
        <v>1</v>
      </c>
      <c r="AB75" s="86">
        <f t="shared" si="13"/>
        <v>0</v>
      </c>
      <c r="AC75" s="86">
        <f t="shared" si="14"/>
        <v>0</v>
      </c>
    </row>
    <row r="76" spans="1:29" ht="31.5" x14ac:dyDescent="0.25">
      <c r="A76" s="85" t="s">
        <v>242</v>
      </c>
      <c r="B76" s="85" t="s">
        <v>68</v>
      </c>
      <c r="C76" s="85" t="s">
        <v>48</v>
      </c>
      <c r="D76" s="111"/>
      <c r="E76" s="111"/>
      <c r="F76" s="85">
        <v>650</v>
      </c>
      <c r="G76" s="85"/>
      <c r="H76" s="85">
        <v>6.3</v>
      </c>
      <c r="I76" s="85">
        <v>21.2</v>
      </c>
      <c r="J76" s="85">
        <v>8.5</v>
      </c>
      <c r="K76" s="85">
        <v>28.9</v>
      </c>
      <c r="L76" s="85">
        <v>21.5</v>
      </c>
      <c r="M76" s="85">
        <v>60.3</v>
      </c>
      <c r="N76" s="85">
        <v>24.1</v>
      </c>
      <c r="O76" s="85">
        <v>98.1</v>
      </c>
      <c r="P76" s="85">
        <f t="shared" si="15"/>
        <v>81.5</v>
      </c>
      <c r="Q76" s="50">
        <f t="shared" si="16"/>
        <v>0</v>
      </c>
      <c r="R76" s="70">
        <f t="shared" si="17"/>
        <v>0</v>
      </c>
      <c r="S76" s="70">
        <f t="shared" si="18"/>
        <v>0</v>
      </c>
      <c r="T76" s="70">
        <f t="shared" si="19"/>
        <v>0</v>
      </c>
      <c r="U76" s="70">
        <f t="shared" si="20"/>
        <v>0</v>
      </c>
      <c r="V76" s="70">
        <f t="shared" si="21"/>
        <v>0</v>
      </c>
      <c r="W76" s="345">
        <f t="shared" si="22"/>
        <v>0</v>
      </c>
      <c r="X76" s="345">
        <f t="shared" si="23"/>
        <v>0</v>
      </c>
      <c r="Y76" s="85"/>
      <c r="Z76" s="85">
        <v>1</v>
      </c>
      <c r="AA76" s="85">
        <v>1</v>
      </c>
      <c r="AB76" s="86">
        <f t="shared" si="13"/>
        <v>0</v>
      </c>
      <c r="AC76" s="86">
        <f t="shared" si="14"/>
        <v>0</v>
      </c>
    </row>
    <row r="77" spans="1:29" ht="31.5" x14ac:dyDescent="0.25">
      <c r="A77" s="85" t="s">
        <v>242</v>
      </c>
      <c r="B77" s="85" t="s">
        <v>68</v>
      </c>
      <c r="C77" s="85" t="s">
        <v>130</v>
      </c>
      <c r="D77" s="111"/>
      <c r="E77" s="111"/>
      <c r="F77" s="85">
        <v>650</v>
      </c>
      <c r="G77" s="85"/>
      <c r="H77" s="85"/>
      <c r="I77" s="85"/>
      <c r="J77" s="85"/>
      <c r="K77" s="85"/>
      <c r="L77" s="85">
        <v>27.8</v>
      </c>
      <c r="M77" s="85">
        <v>81.5</v>
      </c>
      <c r="N77" s="85">
        <v>32.6</v>
      </c>
      <c r="O77" s="85">
        <v>127</v>
      </c>
      <c r="P77" s="85">
        <f t="shared" si="15"/>
        <v>81.5</v>
      </c>
      <c r="Q77" s="50">
        <f t="shared" si="16"/>
        <v>0</v>
      </c>
      <c r="R77" s="70">
        <f t="shared" si="17"/>
        <v>0</v>
      </c>
      <c r="S77" s="70">
        <f t="shared" si="18"/>
        <v>0</v>
      </c>
      <c r="T77" s="70">
        <f t="shared" si="19"/>
        <v>0</v>
      </c>
      <c r="U77" s="70">
        <f t="shared" si="20"/>
        <v>0</v>
      </c>
      <c r="V77" s="70">
        <f t="shared" si="21"/>
        <v>0</v>
      </c>
      <c r="W77" s="345">
        <f t="shared" si="22"/>
        <v>0</v>
      </c>
      <c r="X77" s="345">
        <f t="shared" si="23"/>
        <v>0</v>
      </c>
      <c r="Y77" s="85"/>
      <c r="Z77" s="85">
        <v>1</v>
      </c>
      <c r="AA77" s="85">
        <v>1</v>
      </c>
      <c r="AB77" s="86">
        <f t="shared" si="13"/>
        <v>0</v>
      </c>
      <c r="AC77" s="86">
        <f t="shared" si="14"/>
        <v>0</v>
      </c>
    </row>
    <row r="78" spans="1:29" ht="21" x14ac:dyDescent="0.25">
      <c r="A78" s="85" t="s">
        <v>242</v>
      </c>
      <c r="B78" s="85" t="s">
        <v>68</v>
      </c>
      <c r="C78" s="85" t="s">
        <v>45</v>
      </c>
      <c r="D78" s="111"/>
      <c r="E78" s="111"/>
      <c r="F78" s="85">
        <v>650</v>
      </c>
      <c r="G78" s="85"/>
      <c r="H78" s="85">
        <v>23</v>
      </c>
      <c r="I78" s="85">
        <v>81.5</v>
      </c>
      <c r="J78" s="85">
        <v>32.6</v>
      </c>
      <c r="K78" s="85">
        <v>127</v>
      </c>
      <c r="L78" s="85"/>
      <c r="M78" s="85"/>
      <c r="N78" s="85"/>
      <c r="O78" s="85"/>
      <c r="P78" s="85">
        <f t="shared" si="15"/>
        <v>81.5</v>
      </c>
      <c r="Q78" s="50">
        <f t="shared" si="16"/>
        <v>0</v>
      </c>
      <c r="R78" s="70">
        <f t="shared" si="17"/>
        <v>0</v>
      </c>
      <c r="S78" s="70">
        <f t="shared" si="18"/>
        <v>0</v>
      </c>
      <c r="T78" s="70">
        <f t="shared" si="19"/>
        <v>0</v>
      </c>
      <c r="U78" s="70">
        <f t="shared" si="20"/>
        <v>0</v>
      </c>
      <c r="V78" s="70">
        <f t="shared" si="21"/>
        <v>0</v>
      </c>
      <c r="W78" s="345">
        <f t="shared" si="22"/>
        <v>0</v>
      </c>
      <c r="X78" s="345">
        <f t="shared" si="23"/>
        <v>0</v>
      </c>
      <c r="Y78" s="85"/>
      <c r="Z78" s="85">
        <v>1</v>
      </c>
      <c r="AA78" s="85">
        <v>1</v>
      </c>
      <c r="AB78" s="86">
        <f t="shared" si="13"/>
        <v>0</v>
      </c>
      <c r="AC78" s="86">
        <f t="shared" si="14"/>
        <v>0</v>
      </c>
    </row>
    <row r="79" spans="1:29" ht="21" x14ac:dyDescent="0.25">
      <c r="A79" s="85" t="s">
        <v>242</v>
      </c>
      <c r="B79" s="85" t="s">
        <v>68</v>
      </c>
      <c r="C79" s="85" t="s">
        <v>49</v>
      </c>
      <c r="D79" s="111"/>
      <c r="E79" s="111"/>
      <c r="F79" s="85">
        <v>650</v>
      </c>
      <c r="G79" s="85"/>
      <c r="H79" s="85">
        <v>6.3</v>
      </c>
      <c r="I79" s="85">
        <v>23.5</v>
      </c>
      <c r="J79" s="85">
        <v>9.4</v>
      </c>
      <c r="K79" s="85">
        <v>24.8</v>
      </c>
      <c r="L79" s="85">
        <v>26</v>
      </c>
      <c r="M79" s="85">
        <v>58</v>
      </c>
      <c r="N79" s="85">
        <v>23.2</v>
      </c>
      <c r="O79" s="85">
        <v>102.2</v>
      </c>
      <c r="P79" s="85">
        <f t="shared" si="15"/>
        <v>81.5</v>
      </c>
      <c r="Q79" s="50">
        <f t="shared" si="16"/>
        <v>0</v>
      </c>
      <c r="R79" s="70">
        <f t="shared" si="17"/>
        <v>0</v>
      </c>
      <c r="S79" s="70">
        <f t="shared" si="18"/>
        <v>0</v>
      </c>
      <c r="T79" s="70">
        <f t="shared" si="19"/>
        <v>0</v>
      </c>
      <c r="U79" s="70">
        <f t="shared" si="20"/>
        <v>0</v>
      </c>
      <c r="V79" s="70">
        <f t="shared" si="21"/>
        <v>0</v>
      </c>
      <c r="W79" s="345">
        <f t="shared" si="22"/>
        <v>0</v>
      </c>
      <c r="X79" s="345">
        <f t="shared" si="23"/>
        <v>0</v>
      </c>
      <c r="Y79" s="85"/>
      <c r="Z79" s="85">
        <v>1</v>
      </c>
      <c r="AA79" s="85">
        <v>1</v>
      </c>
      <c r="AB79" s="86">
        <f t="shared" si="13"/>
        <v>0</v>
      </c>
      <c r="AC79" s="86">
        <f t="shared" si="14"/>
        <v>0</v>
      </c>
    </row>
    <row r="80" spans="1:29" ht="21" x14ac:dyDescent="0.25">
      <c r="A80" s="85" t="s">
        <v>242</v>
      </c>
      <c r="B80" s="85" t="s">
        <v>68</v>
      </c>
      <c r="C80" s="85" t="s">
        <v>126</v>
      </c>
      <c r="D80" s="111"/>
      <c r="E80" s="111"/>
      <c r="F80" s="85">
        <v>650</v>
      </c>
      <c r="G80" s="85"/>
      <c r="H80" s="85"/>
      <c r="I80" s="85"/>
      <c r="J80" s="85"/>
      <c r="K80" s="85"/>
      <c r="L80" s="85">
        <v>32.299999999999997</v>
      </c>
      <c r="M80" s="85">
        <v>81.5</v>
      </c>
      <c r="N80" s="85">
        <v>32.6</v>
      </c>
      <c r="O80" s="85">
        <v>127</v>
      </c>
      <c r="P80" s="85">
        <f t="shared" si="15"/>
        <v>81.5</v>
      </c>
      <c r="Q80" s="50">
        <f t="shared" si="16"/>
        <v>0</v>
      </c>
      <c r="R80" s="70">
        <f t="shared" si="17"/>
        <v>0</v>
      </c>
      <c r="S80" s="70">
        <f t="shared" si="18"/>
        <v>0</v>
      </c>
      <c r="T80" s="70">
        <f t="shared" si="19"/>
        <v>0</v>
      </c>
      <c r="U80" s="70">
        <f t="shared" si="20"/>
        <v>0</v>
      </c>
      <c r="V80" s="70">
        <f t="shared" si="21"/>
        <v>0</v>
      </c>
      <c r="W80" s="345">
        <f t="shared" si="22"/>
        <v>0</v>
      </c>
      <c r="X80" s="345">
        <f t="shared" si="23"/>
        <v>0</v>
      </c>
      <c r="Y80" s="85"/>
      <c r="Z80" s="85">
        <v>1</v>
      </c>
      <c r="AA80" s="85">
        <v>1</v>
      </c>
      <c r="AB80" s="86">
        <f t="shared" si="13"/>
        <v>0</v>
      </c>
      <c r="AC80" s="86">
        <f t="shared" si="14"/>
        <v>0</v>
      </c>
    </row>
    <row r="81" spans="1:36" ht="21" x14ac:dyDescent="0.25">
      <c r="A81" s="85" t="s">
        <v>242</v>
      </c>
      <c r="B81" s="85" t="s">
        <v>68</v>
      </c>
      <c r="C81" s="85" t="s">
        <v>44</v>
      </c>
      <c r="D81" s="111"/>
      <c r="E81" s="111"/>
      <c r="F81" s="85">
        <v>650</v>
      </c>
      <c r="G81" s="85"/>
      <c r="H81" s="85">
        <v>10.3</v>
      </c>
      <c r="I81" s="85">
        <v>36.5</v>
      </c>
      <c r="J81" s="85">
        <v>14.6</v>
      </c>
      <c r="K81" s="85">
        <v>31.1</v>
      </c>
      <c r="L81" s="85">
        <v>31.5</v>
      </c>
      <c r="M81" s="85">
        <v>45</v>
      </c>
      <c r="N81" s="85">
        <v>18</v>
      </c>
      <c r="O81" s="85">
        <v>95.8</v>
      </c>
      <c r="P81" s="85">
        <f t="shared" si="15"/>
        <v>81.5</v>
      </c>
      <c r="Q81" s="50">
        <f t="shared" si="16"/>
        <v>0</v>
      </c>
      <c r="R81" s="70">
        <f t="shared" si="17"/>
        <v>0</v>
      </c>
      <c r="S81" s="70">
        <f t="shared" si="18"/>
        <v>0</v>
      </c>
      <c r="T81" s="70">
        <f t="shared" si="19"/>
        <v>0</v>
      </c>
      <c r="U81" s="70">
        <f t="shared" si="20"/>
        <v>0</v>
      </c>
      <c r="V81" s="70">
        <f t="shared" si="21"/>
        <v>0</v>
      </c>
      <c r="W81" s="345">
        <f t="shared" si="22"/>
        <v>0</v>
      </c>
      <c r="X81" s="345">
        <f t="shared" si="23"/>
        <v>0</v>
      </c>
      <c r="Y81" s="85"/>
      <c r="Z81" s="85">
        <v>1</v>
      </c>
      <c r="AA81" s="85">
        <v>1</v>
      </c>
      <c r="AB81" s="86">
        <f t="shared" si="13"/>
        <v>0</v>
      </c>
      <c r="AC81" s="86">
        <f t="shared" si="14"/>
        <v>0</v>
      </c>
    </row>
    <row r="82" spans="1:36" x14ac:dyDescent="0.25">
      <c r="A82" s="85" t="s">
        <v>230</v>
      </c>
      <c r="B82" s="85" t="s">
        <v>71</v>
      </c>
      <c r="C82" s="85" t="s">
        <v>56</v>
      </c>
      <c r="D82" s="111"/>
      <c r="E82" s="111"/>
      <c r="F82" s="85">
        <v>800</v>
      </c>
      <c r="G82" s="85"/>
      <c r="H82" s="85">
        <v>4.3</v>
      </c>
      <c r="I82" s="85">
        <v>22.3</v>
      </c>
      <c r="J82" s="85">
        <v>8.9</v>
      </c>
      <c r="K82" s="85">
        <v>18.2</v>
      </c>
      <c r="L82" s="85">
        <v>25.7</v>
      </c>
      <c r="M82" s="85">
        <v>80.7</v>
      </c>
      <c r="N82" s="85">
        <v>32.299999999999997</v>
      </c>
      <c r="O82" s="85">
        <v>108.8</v>
      </c>
      <c r="P82" s="85">
        <f t="shared" si="15"/>
        <v>103</v>
      </c>
      <c r="Q82" s="50">
        <f t="shared" si="16"/>
        <v>0</v>
      </c>
      <c r="R82" s="70">
        <f t="shared" si="17"/>
        <v>0</v>
      </c>
      <c r="S82" s="70">
        <f t="shared" si="18"/>
        <v>0</v>
      </c>
      <c r="T82" s="70">
        <f t="shared" si="19"/>
        <v>0</v>
      </c>
      <c r="U82" s="70">
        <f t="shared" si="20"/>
        <v>0</v>
      </c>
      <c r="V82" s="70">
        <f t="shared" si="21"/>
        <v>0</v>
      </c>
      <c r="W82" s="345">
        <f t="shared" si="22"/>
        <v>0</v>
      </c>
      <c r="X82" s="345">
        <f t="shared" si="23"/>
        <v>0</v>
      </c>
      <c r="Y82" s="85"/>
      <c r="Z82" s="85">
        <v>1</v>
      </c>
      <c r="AA82" s="85">
        <v>1</v>
      </c>
      <c r="AB82" s="86">
        <f t="shared" si="13"/>
        <v>0</v>
      </c>
      <c r="AC82" s="86">
        <f t="shared" si="14"/>
        <v>0</v>
      </c>
    </row>
    <row r="83" spans="1:36" ht="21" x14ac:dyDescent="0.25">
      <c r="A83" s="85" t="s">
        <v>230</v>
      </c>
      <c r="B83" s="85" t="s">
        <v>71</v>
      </c>
      <c r="C83" s="85" t="s">
        <v>127</v>
      </c>
      <c r="D83" s="111"/>
      <c r="E83" s="111"/>
      <c r="F83" s="85">
        <v>800</v>
      </c>
      <c r="G83" s="85"/>
      <c r="H83" s="85"/>
      <c r="I83" s="85"/>
      <c r="J83" s="85"/>
      <c r="K83" s="85"/>
      <c r="L83" s="85">
        <v>30</v>
      </c>
      <c r="M83" s="85">
        <v>103</v>
      </c>
      <c r="N83" s="85">
        <v>41.2</v>
      </c>
      <c r="O83" s="85">
        <v>127</v>
      </c>
      <c r="P83" s="85">
        <f t="shared" si="15"/>
        <v>103</v>
      </c>
      <c r="Q83" s="50">
        <f t="shared" si="16"/>
        <v>0</v>
      </c>
      <c r="R83" s="70">
        <f t="shared" si="17"/>
        <v>0</v>
      </c>
      <c r="S83" s="70">
        <f t="shared" si="18"/>
        <v>0</v>
      </c>
      <c r="T83" s="70">
        <f t="shared" si="19"/>
        <v>0</v>
      </c>
      <c r="U83" s="70">
        <f t="shared" si="20"/>
        <v>0</v>
      </c>
      <c r="V83" s="70">
        <f t="shared" si="21"/>
        <v>0</v>
      </c>
      <c r="W83" s="345">
        <f t="shared" si="22"/>
        <v>0</v>
      </c>
      <c r="X83" s="345">
        <f t="shared" si="23"/>
        <v>0</v>
      </c>
      <c r="Y83" s="85"/>
      <c r="Z83" s="85">
        <v>1</v>
      </c>
      <c r="AA83" s="85">
        <v>1</v>
      </c>
      <c r="AB83" s="86">
        <f t="shared" si="13"/>
        <v>0</v>
      </c>
      <c r="AC83" s="86">
        <f t="shared" si="14"/>
        <v>0</v>
      </c>
    </row>
    <row r="84" spans="1:36" ht="21" x14ac:dyDescent="0.25">
      <c r="A84" s="85" t="s">
        <v>230</v>
      </c>
      <c r="B84" s="85" t="s">
        <v>71</v>
      </c>
      <c r="C84" s="85" t="s">
        <v>59</v>
      </c>
      <c r="D84" s="111"/>
      <c r="E84" s="111"/>
      <c r="F84" s="85">
        <v>800</v>
      </c>
      <c r="G84" s="85"/>
      <c r="H84" s="85">
        <v>3.3</v>
      </c>
      <c r="I84" s="85">
        <v>14.6</v>
      </c>
      <c r="J84" s="85">
        <v>5.8</v>
      </c>
      <c r="K84" s="85">
        <v>14.7</v>
      </c>
      <c r="L84" s="85">
        <v>26.3</v>
      </c>
      <c r="M84" s="85">
        <v>88.4</v>
      </c>
      <c r="N84" s="85">
        <v>35.4</v>
      </c>
      <c r="O84" s="85">
        <v>112.3</v>
      </c>
      <c r="P84" s="85">
        <f t="shared" si="15"/>
        <v>103</v>
      </c>
      <c r="Q84" s="50">
        <f t="shared" si="16"/>
        <v>0</v>
      </c>
      <c r="R84" s="70">
        <f t="shared" si="17"/>
        <v>0</v>
      </c>
      <c r="S84" s="70">
        <f t="shared" si="18"/>
        <v>0</v>
      </c>
      <c r="T84" s="70">
        <f t="shared" si="19"/>
        <v>0</v>
      </c>
      <c r="U84" s="70">
        <f t="shared" si="20"/>
        <v>0</v>
      </c>
      <c r="V84" s="70">
        <f t="shared" si="21"/>
        <v>0</v>
      </c>
      <c r="W84" s="345">
        <f t="shared" si="22"/>
        <v>0</v>
      </c>
      <c r="X84" s="345">
        <f t="shared" si="23"/>
        <v>0</v>
      </c>
      <c r="Y84" s="85"/>
      <c r="Z84" s="85">
        <v>1</v>
      </c>
      <c r="AA84" s="85">
        <v>1</v>
      </c>
      <c r="AB84" s="86">
        <f t="shared" si="13"/>
        <v>0</v>
      </c>
      <c r="AC84" s="86">
        <f t="shared" si="14"/>
        <v>0</v>
      </c>
    </row>
    <row r="85" spans="1:36" ht="21" x14ac:dyDescent="0.25">
      <c r="A85" s="85" t="s">
        <v>230</v>
      </c>
      <c r="B85" s="85" t="s">
        <v>71</v>
      </c>
      <c r="C85" s="85" t="s">
        <v>128</v>
      </c>
      <c r="D85" s="111"/>
      <c r="E85" s="111"/>
      <c r="F85" s="85">
        <v>800</v>
      </c>
      <c r="G85" s="85"/>
      <c r="H85" s="85"/>
      <c r="I85" s="85"/>
      <c r="J85" s="85"/>
      <c r="K85" s="85"/>
      <c r="L85" s="85">
        <v>29.6</v>
      </c>
      <c r="M85" s="85">
        <v>103</v>
      </c>
      <c r="N85" s="85">
        <v>41.2</v>
      </c>
      <c r="O85" s="85">
        <v>127</v>
      </c>
      <c r="P85" s="85">
        <f t="shared" si="15"/>
        <v>103</v>
      </c>
      <c r="Q85" s="50">
        <f t="shared" si="16"/>
        <v>0</v>
      </c>
      <c r="R85" s="70">
        <f t="shared" si="17"/>
        <v>0</v>
      </c>
      <c r="S85" s="70">
        <f t="shared" si="18"/>
        <v>0</v>
      </c>
      <c r="T85" s="70">
        <f t="shared" si="19"/>
        <v>0</v>
      </c>
      <c r="U85" s="70">
        <f t="shared" si="20"/>
        <v>0</v>
      </c>
      <c r="V85" s="70">
        <f t="shared" si="21"/>
        <v>0</v>
      </c>
      <c r="W85" s="345">
        <f t="shared" si="22"/>
        <v>0</v>
      </c>
      <c r="X85" s="345">
        <f t="shared" si="23"/>
        <v>0</v>
      </c>
      <c r="Y85" s="85"/>
      <c r="Z85" s="85">
        <v>1</v>
      </c>
      <c r="AA85" s="85">
        <v>1</v>
      </c>
      <c r="AB85" s="86">
        <f t="shared" si="13"/>
        <v>0</v>
      </c>
      <c r="AC85" s="86">
        <f t="shared" si="14"/>
        <v>0</v>
      </c>
    </row>
    <row r="86" spans="1:36" ht="21" x14ac:dyDescent="0.25">
      <c r="A86" s="85" t="s">
        <v>230</v>
      </c>
      <c r="B86" s="85" t="s">
        <v>71</v>
      </c>
      <c r="C86" s="85" t="s">
        <v>46</v>
      </c>
      <c r="D86" s="111"/>
      <c r="E86" s="111"/>
      <c r="F86" s="85">
        <v>800</v>
      </c>
      <c r="G86" s="85"/>
      <c r="H86" s="85">
        <v>13.7</v>
      </c>
      <c r="I86" s="85">
        <v>60.7</v>
      </c>
      <c r="J86" s="85">
        <v>24.3</v>
      </c>
      <c r="K86" s="85">
        <v>68</v>
      </c>
      <c r="L86" s="85">
        <v>12</v>
      </c>
      <c r="M86" s="85">
        <v>42.3</v>
      </c>
      <c r="N86" s="85">
        <v>16.899999999999999</v>
      </c>
      <c r="O86" s="85">
        <v>59</v>
      </c>
      <c r="P86" s="85">
        <f t="shared" si="15"/>
        <v>103</v>
      </c>
      <c r="Q86" s="50">
        <f t="shared" si="16"/>
        <v>0</v>
      </c>
      <c r="R86" s="70">
        <f t="shared" si="17"/>
        <v>0</v>
      </c>
      <c r="S86" s="70">
        <f t="shared" si="18"/>
        <v>0</v>
      </c>
      <c r="T86" s="70">
        <f t="shared" si="19"/>
        <v>0</v>
      </c>
      <c r="U86" s="70">
        <f t="shared" si="20"/>
        <v>0</v>
      </c>
      <c r="V86" s="70">
        <f t="shared" si="21"/>
        <v>0</v>
      </c>
      <c r="W86" s="345">
        <f t="shared" si="22"/>
        <v>0</v>
      </c>
      <c r="X86" s="345">
        <f t="shared" si="23"/>
        <v>0</v>
      </c>
      <c r="Y86" s="85"/>
      <c r="Z86" s="85">
        <v>1</v>
      </c>
      <c r="AA86" s="85">
        <v>1</v>
      </c>
      <c r="AB86" s="86">
        <f t="shared" si="13"/>
        <v>0</v>
      </c>
      <c r="AC86" s="86">
        <f t="shared" si="14"/>
        <v>0</v>
      </c>
    </row>
    <row r="87" spans="1:36" ht="21" x14ac:dyDescent="0.25">
      <c r="A87" s="85" t="s">
        <v>230</v>
      </c>
      <c r="B87" s="85" t="s">
        <v>71</v>
      </c>
      <c r="C87" s="85" t="s">
        <v>47</v>
      </c>
      <c r="D87" s="111"/>
      <c r="E87" s="111"/>
      <c r="F87" s="85">
        <v>800</v>
      </c>
      <c r="G87" s="85"/>
      <c r="H87" s="85">
        <v>7.7</v>
      </c>
      <c r="I87" s="85">
        <v>34</v>
      </c>
      <c r="J87" s="85">
        <v>13.6</v>
      </c>
      <c r="K87" s="85">
        <v>37.5</v>
      </c>
      <c r="L87" s="85">
        <v>18.7</v>
      </c>
      <c r="M87" s="85">
        <v>69</v>
      </c>
      <c r="N87" s="85">
        <v>27.6</v>
      </c>
      <c r="O87" s="85">
        <v>89.5</v>
      </c>
      <c r="P87" s="85">
        <f t="shared" si="15"/>
        <v>103</v>
      </c>
      <c r="Q87" s="50">
        <f t="shared" si="16"/>
        <v>0</v>
      </c>
      <c r="R87" s="70">
        <f t="shared" si="17"/>
        <v>0</v>
      </c>
      <c r="S87" s="70">
        <f t="shared" si="18"/>
        <v>0</v>
      </c>
      <c r="T87" s="70">
        <f t="shared" si="19"/>
        <v>0</v>
      </c>
      <c r="U87" s="70">
        <f t="shared" si="20"/>
        <v>0</v>
      </c>
      <c r="V87" s="70">
        <f t="shared" si="21"/>
        <v>0</v>
      </c>
      <c r="W87" s="345">
        <f t="shared" si="22"/>
        <v>0</v>
      </c>
      <c r="X87" s="345">
        <f t="shared" si="23"/>
        <v>0</v>
      </c>
      <c r="Y87" s="85"/>
      <c r="Z87" s="85">
        <v>1</v>
      </c>
      <c r="AA87" s="85">
        <v>1</v>
      </c>
      <c r="AB87" s="86">
        <f t="shared" si="13"/>
        <v>0</v>
      </c>
      <c r="AC87" s="86">
        <f t="shared" si="14"/>
        <v>0</v>
      </c>
    </row>
    <row r="88" spans="1:36" ht="21" x14ac:dyDescent="0.25">
      <c r="A88" s="85" t="s">
        <v>230</v>
      </c>
      <c r="B88" s="85" t="s">
        <v>71</v>
      </c>
      <c r="C88" s="85" t="s">
        <v>45</v>
      </c>
      <c r="D88" s="111"/>
      <c r="E88" s="111"/>
      <c r="F88" s="85">
        <v>800</v>
      </c>
      <c r="G88" s="85"/>
      <c r="H88" s="85">
        <v>22.3</v>
      </c>
      <c r="I88" s="85">
        <v>103</v>
      </c>
      <c r="J88" s="85">
        <v>41.2</v>
      </c>
      <c r="K88" s="85">
        <v>127</v>
      </c>
      <c r="L88" s="85"/>
      <c r="M88" s="85"/>
      <c r="N88" s="85"/>
      <c r="O88" s="85"/>
      <c r="P88" s="85">
        <f t="shared" si="15"/>
        <v>103</v>
      </c>
      <c r="Q88" s="50">
        <f t="shared" si="16"/>
        <v>0</v>
      </c>
      <c r="R88" s="70">
        <f t="shared" si="17"/>
        <v>0</v>
      </c>
      <c r="S88" s="70">
        <f t="shared" si="18"/>
        <v>0</v>
      </c>
      <c r="T88" s="70">
        <f t="shared" si="19"/>
        <v>0</v>
      </c>
      <c r="U88" s="70">
        <f t="shared" si="20"/>
        <v>0</v>
      </c>
      <c r="V88" s="70">
        <f t="shared" si="21"/>
        <v>0</v>
      </c>
      <c r="W88" s="345">
        <f t="shared" si="22"/>
        <v>0</v>
      </c>
      <c r="X88" s="345">
        <f t="shared" si="23"/>
        <v>0</v>
      </c>
      <c r="Y88" s="85"/>
      <c r="Z88" s="85">
        <v>1</v>
      </c>
      <c r="AA88" s="85">
        <v>1</v>
      </c>
      <c r="AB88" s="86">
        <f t="shared" si="13"/>
        <v>0</v>
      </c>
      <c r="AC88" s="86">
        <f t="shared" si="14"/>
        <v>0</v>
      </c>
    </row>
    <row r="89" spans="1:36" x14ac:dyDescent="0.25">
      <c r="A89" s="85" t="s">
        <v>230</v>
      </c>
      <c r="B89" s="85" t="s">
        <v>71</v>
      </c>
      <c r="C89" s="85" t="s">
        <v>57</v>
      </c>
      <c r="D89" s="111"/>
      <c r="E89" s="111"/>
      <c r="F89" s="85">
        <v>800</v>
      </c>
      <c r="G89" s="85"/>
      <c r="H89" s="85">
        <v>22</v>
      </c>
      <c r="I89" s="85">
        <v>103</v>
      </c>
      <c r="J89" s="85">
        <v>41.2</v>
      </c>
      <c r="K89" s="85">
        <v>127</v>
      </c>
      <c r="L89" s="85"/>
      <c r="M89" s="85"/>
      <c r="N89" s="85"/>
      <c r="O89" s="85"/>
      <c r="P89" s="85">
        <f t="shared" si="15"/>
        <v>103</v>
      </c>
      <c r="Q89" s="50">
        <f t="shared" si="16"/>
        <v>0</v>
      </c>
      <c r="R89" s="70">
        <f t="shared" si="17"/>
        <v>0</v>
      </c>
      <c r="S89" s="70">
        <f t="shared" si="18"/>
        <v>0</v>
      </c>
      <c r="T89" s="70">
        <f t="shared" si="19"/>
        <v>0</v>
      </c>
      <c r="U89" s="70">
        <f t="shared" si="20"/>
        <v>0</v>
      </c>
      <c r="V89" s="70">
        <f t="shared" si="21"/>
        <v>0</v>
      </c>
      <c r="W89" s="345">
        <f t="shared" si="22"/>
        <v>0</v>
      </c>
      <c r="X89" s="345">
        <f t="shared" si="23"/>
        <v>0</v>
      </c>
      <c r="Y89" s="85"/>
      <c r="Z89" s="85">
        <v>1</v>
      </c>
      <c r="AA89" s="85">
        <v>1</v>
      </c>
      <c r="AB89" s="86">
        <f t="shared" si="13"/>
        <v>0</v>
      </c>
      <c r="AC89" s="86">
        <f t="shared" si="14"/>
        <v>0</v>
      </c>
    </row>
    <row r="90" spans="1:36" ht="21" x14ac:dyDescent="0.25">
      <c r="A90" s="85" t="s">
        <v>230</v>
      </c>
      <c r="B90" s="85" t="s">
        <v>71</v>
      </c>
      <c r="C90" s="85" t="s">
        <v>49</v>
      </c>
      <c r="D90" s="111"/>
      <c r="E90" s="111"/>
      <c r="F90" s="85">
        <v>800</v>
      </c>
      <c r="G90" s="85"/>
      <c r="H90" s="85">
        <v>3.3</v>
      </c>
      <c r="I90" s="85">
        <v>14.6</v>
      </c>
      <c r="J90" s="85">
        <v>5.8</v>
      </c>
      <c r="K90" s="85">
        <v>11.9</v>
      </c>
      <c r="L90" s="85">
        <v>33</v>
      </c>
      <c r="M90" s="85">
        <v>88.4</v>
      </c>
      <c r="N90" s="85">
        <v>35.4</v>
      </c>
      <c r="O90" s="85">
        <v>115.1</v>
      </c>
      <c r="P90" s="85">
        <f t="shared" si="15"/>
        <v>103</v>
      </c>
      <c r="Q90" s="50">
        <f t="shared" si="16"/>
        <v>0</v>
      </c>
      <c r="R90" s="70">
        <f t="shared" si="17"/>
        <v>0</v>
      </c>
      <c r="S90" s="70">
        <f t="shared" si="18"/>
        <v>0</v>
      </c>
      <c r="T90" s="70">
        <f t="shared" si="19"/>
        <v>0</v>
      </c>
      <c r="U90" s="70">
        <f t="shared" si="20"/>
        <v>0</v>
      </c>
      <c r="V90" s="70">
        <f t="shared" si="21"/>
        <v>0</v>
      </c>
      <c r="W90" s="345">
        <f t="shared" si="22"/>
        <v>0</v>
      </c>
      <c r="X90" s="345">
        <f t="shared" si="23"/>
        <v>0</v>
      </c>
      <c r="Y90" s="85"/>
      <c r="Z90" s="85">
        <v>1</v>
      </c>
      <c r="AA90" s="85">
        <v>1</v>
      </c>
      <c r="AB90" s="86">
        <f t="shared" si="13"/>
        <v>0</v>
      </c>
      <c r="AC90" s="86">
        <f t="shared" si="14"/>
        <v>0</v>
      </c>
    </row>
    <row r="91" spans="1:36" ht="21" x14ac:dyDescent="0.25">
      <c r="A91" s="85" t="s">
        <v>230</v>
      </c>
      <c r="B91" s="85" t="s">
        <v>71</v>
      </c>
      <c r="C91" s="85" t="s">
        <v>126</v>
      </c>
      <c r="D91" s="111"/>
      <c r="E91" s="111"/>
      <c r="F91" s="85">
        <v>800</v>
      </c>
      <c r="G91" s="85"/>
      <c r="H91" s="85"/>
      <c r="I91" s="85"/>
      <c r="J91" s="85"/>
      <c r="K91" s="85"/>
      <c r="L91" s="85">
        <v>36.299999999999997</v>
      </c>
      <c r="M91" s="85">
        <v>103</v>
      </c>
      <c r="N91" s="85">
        <v>41.2</v>
      </c>
      <c r="O91" s="85">
        <v>127</v>
      </c>
      <c r="P91" s="85">
        <f t="shared" si="15"/>
        <v>103</v>
      </c>
      <c r="Q91" s="50">
        <f t="shared" si="16"/>
        <v>0</v>
      </c>
      <c r="R91" s="70">
        <f t="shared" si="17"/>
        <v>0</v>
      </c>
      <c r="S91" s="70">
        <f t="shared" si="18"/>
        <v>0</v>
      </c>
      <c r="T91" s="70">
        <f t="shared" si="19"/>
        <v>0</v>
      </c>
      <c r="U91" s="70">
        <f t="shared" si="20"/>
        <v>0</v>
      </c>
      <c r="V91" s="70">
        <f t="shared" si="21"/>
        <v>0</v>
      </c>
      <c r="W91" s="345">
        <f t="shared" si="22"/>
        <v>0</v>
      </c>
      <c r="X91" s="345">
        <f t="shared" si="23"/>
        <v>0</v>
      </c>
      <c r="Y91" s="85"/>
      <c r="Z91" s="85">
        <v>1</v>
      </c>
      <c r="AA91" s="85">
        <v>1</v>
      </c>
      <c r="AB91" s="86">
        <f t="shared" si="13"/>
        <v>0</v>
      </c>
      <c r="AC91" s="86">
        <f t="shared" si="14"/>
        <v>0</v>
      </c>
    </row>
    <row r="92" spans="1:36" ht="21" x14ac:dyDescent="0.25">
      <c r="A92" s="85" t="s">
        <v>230</v>
      </c>
      <c r="B92" s="85" t="s">
        <v>71</v>
      </c>
      <c r="C92" s="85" t="s">
        <v>58</v>
      </c>
      <c r="D92" s="111"/>
      <c r="E92" s="111"/>
      <c r="F92" s="85">
        <v>800</v>
      </c>
      <c r="G92" s="85"/>
      <c r="H92" s="85">
        <v>11.3</v>
      </c>
      <c r="I92" s="85">
        <v>52.3</v>
      </c>
      <c r="J92" s="85">
        <v>20.9</v>
      </c>
      <c r="K92" s="85">
        <v>40.9</v>
      </c>
      <c r="L92" s="85">
        <v>23.7</v>
      </c>
      <c r="M92" s="85">
        <v>50.7</v>
      </c>
      <c r="N92" s="85">
        <v>20.3</v>
      </c>
      <c r="O92" s="85">
        <v>86.1</v>
      </c>
      <c r="P92" s="85">
        <f t="shared" si="15"/>
        <v>103</v>
      </c>
      <c r="Q92" s="50">
        <f t="shared" si="16"/>
        <v>0</v>
      </c>
      <c r="R92" s="70">
        <f t="shared" si="17"/>
        <v>0</v>
      </c>
      <c r="S92" s="70">
        <f t="shared" si="18"/>
        <v>0</v>
      </c>
      <c r="T92" s="70">
        <f t="shared" si="19"/>
        <v>0</v>
      </c>
      <c r="U92" s="70">
        <f t="shared" si="20"/>
        <v>0</v>
      </c>
      <c r="V92" s="70">
        <f t="shared" si="21"/>
        <v>0</v>
      </c>
      <c r="W92" s="345">
        <f t="shared" si="22"/>
        <v>0</v>
      </c>
      <c r="X92" s="345">
        <f t="shared" si="23"/>
        <v>0</v>
      </c>
      <c r="Y92" s="85"/>
      <c r="Z92" s="85">
        <v>1</v>
      </c>
      <c r="AA92" s="85">
        <v>1</v>
      </c>
      <c r="AB92" s="86">
        <f t="shared" si="13"/>
        <v>0</v>
      </c>
      <c r="AC92" s="86">
        <f t="shared" si="14"/>
        <v>0</v>
      </c>
    </row>
    <row r="93" spans="1:36" s="69" customFormat="1" ht="11.25" x14ac:dyDescent="0.2">
      <c r="A93" s="74" t="s">
        <v>264</v>
      </c>
      <c r="B93" s="88"/>
      <c r="C93" s="88"/>
      <c r="D93" s="74">
        <f>SUM(D8:D92)-D67-D68-D69-D70</f>
        <v>0</v>
      </c>
      <c r="E93" s="92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0"/>
      <c r="Q93" s="138">
        <f>SUM(Q8:Q92)</f>
        <v>0</v>
      </c>
      <c r="R93" s="138">
        <f>SUM(R8:R92)</f>
        <v>0</v>
      </c>
      <c r="S93" s="138">
        <f>SUM(S8:S92)</f>
        <v>0</v>
      </c>
      <c r="T93" s="138">
        <f>SUM(T8:T92)</f>
        <v>0</v>
      </c>
      <c r="U93" s="138">
        <f>SUM(U8:U92)</f>
        <v>0</v>
      </c>
      <c r="V93" s="140">
        <f t="shared" ref="V93:AC93" si="24">SUM(V8:V92)-V67-V68-V69-V70</f>
        <v>0</v>
      </c>
      <c r="W93" s="140">
        <f t="shared" si="24"/>
        <v>0</v>
      </c>
      <c r="X93" s="140">
        <f t="shared" si="24"/>
        <v>0</v>
      </c>
      <c r="Y93" s="140">
        <f t="shared" si="24"/>
        <v>0</v>
      </c>
      <c r="Z93" s="140">
        <f t="shared" si="24"/>
        <v>66</v>
      </c>
      <c r="AA93" s="140">
        <f t="shared" si="24"/>
        <v>64.800000000000011</v>
      </c>
      <c r="AB93" s="140">
        <f t="shared" si="24"/>
        <v>0</v>
      </c>
      <c r="AC93" s="140">
        <f t="shared" si="24"/>
        <v>0</v>
      </c>
    </row>
    <row r="94" spans="1:36" s="11" customForma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6"/>
      <c r="AC94" s="76"/>
      <c r="AD94" s="76"/>
      <c r="AE94" s="76"/>
      <c r="AF94" s="76"/>
      <c r="AG94" s="76"/>
      <c r="AH94" s="76"/>
      <c r="AI94" s="76"/>
      <c r="AJ94" s="76"/>
    </row>
    <row r="95" spans="1:36" s="11" customFormat="1" x14ac:dyDescent="0.25">
      <c r="A95" s="16" t="s">
        <v>277</v>
      </c>
      <c r="B95" s="115">
        <f>R67+R68+R69+R70</f>
        <v>0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>
        <f>T21+U21</f>
        <v>0</v>
      </c>
      <c r="U95" s="75"/>
      <c r="V95" s="75"/>
      <c r="W95" s="75"/>
      <c r="X95" s="75"/>
      <c r="Y95" s="75"/>
      <c r="Z95" s="75"/>
      <c r="AA95" s="75"/>
      <c r="AB95" s="76"/>
      <c r="AC95" s="76"/>
      <c r="AD95" s="76"/>
      <c r="AE95" s="76"/>
      <c r="AF95" s="76"/>
      <c r="AG95" s="76"/>
      <c r="AH95" s="76"/>
      <c r="AI95" s="76"/>
      <c r="AJ95" s="76"/>
    </row>
    <row r="97" spans="1:3" ht="47.25" customHeight="1" x14ac:dyDescent="0.25">
      <c r="A97" s="461"/>
      <c r="B97" s="593" t="s">
        <v>460</v>
      </c>
      <c r="C97" s="593"/>
    </row>
  </sheetData>
  <sheetProtection sheet="1"/>
  <mergeCells count="1">
    <mergeCell ref="B97:C97"/>
  </mergeCells>
  <phoneticPr fontId="7" type="noConversion"/>
  <pageMargins left="0.27559055118110237" right="0.23622047244094491" top="0.47244094488188981" bottom="0.39370078740157483" header="0.43307086614173229" footer="0.35433070866141736"/>
  <pageSetup paperSize="9" scale="70" orientation="landscape" horizontalDpi="4294967294" vertic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8"/>
  <dimension ref="A1:AC136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23.28515625" customWidth="1"/>
    <col min="2" max="2" width="19" customWidth="1"/>
    <col min="3" max="3" width="32.5703125" customWidth="1"/>
    <col min="5" max="5" width="8.7109375" customWidth="1"/>
    <col min="6" max="6" width="9.5703125" customWidth="1"/>
    <col min="7" max="7" width="8.85546875" hidden="1" customWidth="1"/>
    <col min="8" max="8" width="11.5703125" hidden="1" customWidth="1"/>
    <col min="9" max="10" width="11.28515625" hidden="1" customWidth="1"/>
    <col min="11" max="11" width="9" hidden="1" customWidth="1"/>
    <col min="12" max="12" width="10.28515625" hidden="1" customWidth="1"/>
    <col min="13" max="14" width="10" hidden="1" customWidth="1"/>
    <col min="15" max="15" width="10.85546875" hidden="1" customWidth="1"/>
    <col min="16" max="16" width="11.42578125" customWidth="1"/>
    <col min="17" max="17" width="10.5703125" bestFit="1" customWidth="1"/>
    <col min="18" max="18" width="10.42578125" customWidth="1"/>
    <col min="19" max="20" width="10.28515625" customWidth="1"/>
    <col min="21" max="21" width="10.42578125" customWidth="1"/>
    <col min="22" max="23" width="9.7109375" customWidth="1"/>
    <col min="24" max="26" width="8.85546875" hidden="1" customWidth="1"/>
    <col min="28" max="28" width="9.28515625" customWidth="1"/>
  </cols>
  <sheetData>
    <row r="1" spans="1:28" x14ac:dyDescent="0.25">
      <c r="A1" s="9" t="s">
        <v>282</v>
      </c>
    </row>
    <row r="2" spans="1:28" x14ac:dyDescent="0.25">
      <c r="A2" s="4" t="s">
        <v>146</v>
      </c>
    </row>
    <row r="3" spans="1:28" x14ac:dyDescent="0.25">
      <c r="A3" s="4" t="s">
        <v>169</v>
      </c>
    </row>
    <row r="4" spans="1:28" x14ac:dyDescent="0.25">
      <c r="A4" s="13" t="s">
        <v>283</v>
      </c>
    </row>
    <row r="5" spans="1:28" x14ac:dyDescent="0.25">
      <c r="A5" s="190" t="s">
        <v>448</v>
      </c>
    </row>
    <row r="6" spans="1:28" x14ac:dyDescent="0.25">
      <c r="A6" s="13"/>
    </row>
    <row r="7" spans="1:28" ht="81" customHeight="1" x14ac:dyDescent="0.25">
      <c r="A7" s="1" t="s">
        <v>261</v>
      </c>
      <c r="B7" s="1" t="s">
        <v>263</v>
      </c>
      <c r="C7" s="1" t="s">
        <v>262</v>
      </c>
      <c r="D7" s="67" t="s">
        <v>143</v>
      </c>
      <c r="E7" s="67" t="s">
        <v>260</v>
      </c>
      <c r="F7" s="1" t="s">
        <v>304</v>
      </c>
      <c r="G7" s="1" t="s">
        <v>297</v>
      </c>
      <c r="H7" s="1" t="s">
        <v>294</v>
      </c>
      <c r="I7" s="1" t="s">
        <v>295</v>
      </c>
      <c r="J7" s="1" t="s">
        <v>296</v>
      </c>
      <c r="K7" s="1" t="s">
        <v>298</v>
      </c>
      <c r="L7" s="1" t="s">
        <v>299</v>
      </c>
      <c r="M7" s="1" t="s">
        <v>300</v>
      </c>
      <c r="N7" s="1" t="s">
        <v>301</v>
      </c>
      <c r="O7" s="1" t="s">
        <v>302</v>
      </c>
      <c r="P7" s="1" t="s">
        <v>165</v>
      </c>
      <c r="Q7" s="68" t="s">
        <v>147</v>
      </c>
      <c r="R7" s="68" t="s">
        <v>148</v>
      </c>
      <c r="S7" s="68" t="s">
        <v>274</v>
      </c>
      <c r="T7" s="68" t="s">
        <v>275</v>
      </c>
      <c r="U7" s="68" t="s">
        <v>306</v>
      </c>
      <c r="V7" s="68" t="s">
        <v>421</v>
      </c>
      <c r="W7" s="68" t="s">
        <v>416</v>
      </c>
      <c r="X7" s="68" t="s">
        <v>225</v>
      </c>
      <c r="Y7" s="68" t="s">
        <v>226</v>
      </c>
      <c r="Z7" s="68" t="s">
        <v>265</v>
      </c>
      <c r="AA7" s="68" t="s">
        <v>266</v>
      </c>
      <c r="AB7" s="68" t="s">
        <v>268</v>
      </c>
    </row>
    <row r="8" spans="1:28" ht="21" x14ac:dyDescent="0.25">
      <c r="A8" s="85" t="s">
        <v>259</v>
      </c>
      <c r="B8" s="85" t="s">
        <v>72</v>
      </c>
      <c r="C8" s="85" t="s">
        <v>61</v>
      </c>
      <c r="D8" s="111"/>
      <c r="E8" s="111"/>
      <c r="F8" s="85">
        <v>100</v>
      </c>
      <c r="G8" s="85">
        <v>19</v>
      </c>
      <c r="H8" s="85">
        <v>104</v>
      </c>
      <c r="I8" s="85">
        <v>41.6</v>
      </c>
      <c r="J8" s="85">
        <v>127</v>
      </c>
      <c r="K8" s="85"/>
      <c r="L8" s="85"/>
      <c r="M8" s="85"/>
      <c r="N8" s="85"/>
      <c r="O8" s="85">
        <f>L8+H8</f>
        <v>104</v>
      </c>
      <c r="P8" s="50">
        <f>IF(E8="SI", D8*F8/1000*K8, 0)</f>
        <v>0</v>
      </c>
      <c r="Q8" s="70">
        <f>(D8*F8/1000*G8)+P8</f>
        <v>0</v>
      </c>
      <c r="R8" s="70">
        <f>(D8*F8/1000*K8)-P8</f>
        <v>0</v>
      </c>
      <c r="S8" s="70">
        <f>IF(P8=0,H8*D8*F8/1000,((H8*D8*F8/1000)+(L8*D8*F8/1000)))</f>
        <v>0</v>
      </c>
      <c r="T8" s="70">
        <f>IF(P8=0, L8*D8*F8/1000, 0)</f>
        <v>0</v>
      </c>
      <c r="U8" s="70">
        <f t="shared" ref="U8:U71" si="0">D8*F8/1000</f>
        <v>0</v>
      </c>
      <c r="V8" s="345">
        <f>D8*F8*I8/1000+D8*F8/1000*M8</f>
        <v>0</v>
      </c>
      <c r="W8" s="345">
        <f>D8*F8*J8/1000+D8*F8/1000*N8</f>
        <v>0</v>
      </c>
      <c r="X8" s="85"/>
      <c r="Y8" s="85">
        <v>0.4</v>
      </c>
      <c r="Z8" s="85">
        <v>0</v>
      </c>
      <c r="AA8" s="86">
        <f t="shared" ref="AA8:AA39" si="1">Y8*D8</f>
        <v>0</v>
      </c>
      <c r="AB8" s="86">
        <f t="shared" ref="AB8:AB39" si="2">Z8*D8</f>
        <v>0</v>
      </c>
    </row>
    <row r="9" spans="1:28" ht="21" x14ac:dyDescent="0.25">
      <c r="A9" s="85" t="s">
        <v>259</v>
      </c>
      <c r="B9" s="85" t="s">
        <v>72</v>
      </c>
      <c r="C9" s="85" t="s">
        <v>60</v>
      </c>
      <c r="D9" s="111"/>
      <c r="E9" s="111"/>
      <c r="F9" s="85">
        <v>100</v>
      </c>
      <c r="G9" s="85">
        <v>3</v>
      </c>
      <c r="H9" s="85">
        <v>18</v>
      </c>
      <c r="I9" s="85">
        <v>7.2</v>
      </c>
      <c r="J9" s="85">
        <v>10.6</v>
      </c>
      <c r="K9" s="85">
        <v>38</v>
      </c>
      <c r="L9" s="85">
        <v>86</v>
      </c>
      <c r="M9" s="85">
        <v>34.4</v>
      </c>
      <c r="N9" s="85">
        <v>116.4</v>
      </c>
      <c r="O9" s="85">
        <f t="shared" ref="O9:O72" si="3">L9+H9</f>
        <v>104</v>
      </c>
      <c r="P9" s="50">
        <f t="shared" ref="P9:P72" si="4">IF(E9="SI", D9*F9/1000*K9, 0)</f>
        <v>0</v>
      </c>
      <c r="Q9" s="70">
        <f t="shared" ref="Q9:Q72" si="5">(D9*F9/1000*G9)+P9</f>
        <v>0</v>
      </c>
      <c r="R9" s="70">
        <f t="shared" ref="R9:R72" si="6">(D9*F9/1000*K9)-P9</f>
        <v>0</v>
      </c>
      <c r="S9" s="70">
        <f t="shared" ref="S9:S72" si="7">IF(P9=0,H9*D9*F9/1000,((H9*D9*F9/1000)+(L9*D9*F9/1000)))</f>
        <v>0</v>
      </c>
      <c r="T9" s="70">
        <f t="shared" ref="T9:T72" si="8">IF(P9=0, L9*D9*F9/1000, 0)</f>
        <v>0</v>
      </c>
      <c r="U9" s="70">
        <f t="shared" si="0"/>
        <v>0</v>
      </c>
      <c r="V9" s="345">
        <f t="shared" ref="V9:V72" si="9">D9*F9*I9/1000+D9*F9/1000*M9</f>
        <v>0</v>
      </c>
      <c r="W9" s="345">
        <f t="shared" ref="W9:W72" si="10">D9*F9*J9/1000+D9*F9/1000*N9</f>
        <v>0</v>
      </c>
      <c r="X9" s="85"/>
      <c r="Y9" s="85">
        <v>0.4</v>
      </c>
      <c r="Z9" s="85">
        <v>0</v>
      </c>
      <c r="AA9" s="86">
        <f t="shared" si="1"/>
        <v>0</v>
      </c>
      <c r="AB9" s="86">
        <f t="shared" si="2"/>
        <v>0</v>
      </c>
    </row>
    <row r="10" spans="1:28" ht="21" x14ac:dyDescent="0.25">
      <c r="A10" s="85" t="s">
        <v>259</v>
      </c>
      <c r="B10" s="85" t="s">
        <v>72</v>
      </c>
      <c r="C10" s="85" t="s">
        <v>129</v>
      </c>
      <c r="D10" s="111"/>
      <c r="E10" s="111"/>
      <c r="F10" s="85">
        <v>100</v>
      </c>
      <c r="G10" s="85"/>
      <c r="H10" s="85"/>
      <c r="I10" s="85"/>
      <c r="J10" s="85"/>
      <c r="K10" s="85">
        <v>41</v>
      </c>
      <c r="L10" s="85">
        <v>104</v>
      </c>
      <c r="M10" s="85">
        <v>41.6</v>
      </c>
      <c r="N10" s="85">
        <v>127</v>
      </c>
      <c r="O10" s="85">
        <f t="shared" si="3"/>
        <v>104</v>
      </c>
      <c r="P10" s="50">
        <f t="shared" si="4"/>
        <v>0</v>
      </c>
      <c r="Q10" s="70">
        <f t="shared" si="5"/>
        <v>0</v>
      </c>
      <c r="R10" s="70">
        <f t="shared" si="6"/>
        <v>0</v>
      </c>
      <c r="S10" s="70">
        <f t="shared" si="7"/>
        <v>0</v>
      </c>
      <c r="T10" s="70">
        <f t="shared" si="8"/>
        <v>0</v>
      </c>
      <c r="U10" s="70">
        <f t="shared" si="0"/>
        <v>0</v>
      </c>
      <c r="V10" s="345">
        <f t="shared" si="9"/>
        <v>0</v>
      </c>
      <c r="W10" s="345">
        <f t="shared" si="10"/>
        <v>0</v>
      </c>
      <c r="X10" s="85"/>
      <c r="Y10" s="85">
        <v>0.4</v>
      </c>
      <c r="Z10" s="85">
        <v>0</v>
      </c>
      <c r="AA10" s="86">
        <f t="shared" si="1"/>
        <v>0</v>
      </c>
      <c r="AB10" s="86">
        <f t="shared" si="2"/>
        <v>0</v>
      </c>
    </row>
    <row r="11" spans="1:28" ht="21" x14ac:dyDescent="0.25">
      <c r="A11" s="85" t="s">
        <v>259</v>
      </c>
      <c r="B11" s="85" t="s">
        <v>243</v>
      </c>
      <c r="C11" s="85" t="s">
        <v>61</v>
      </c>
      <c r="D11" s="111"/>
      <c r="E11" s="111"/>
      <c r="F11" s="85">
        <v>100</v>
      </c>
      <c r="G11" s="85">
        <v>19</v>
      </c>
      <c r="H11" s="85">
        <v>120</v>
      </c>
      <c r="I11" s="85">
        <v>48</v>
      </c>
      <c r="J11" s="85">
        <v>127</v>
      </c>
      <c r="K11" s="85"/>
      <c r="L11" s="85"/>
      <c r="M11" s="85"/>
      <c r="N11" s="85"/>
      <c r="O11" s="85">
        <f t="shared" si="3"/>
        <v>120</v>
      </c>
      <c r="P11" s="50">
        <f t="shared" si="4"/>
        <v>0</v>
      </c>
      <c r="Q11" s="70">
        <f t="shared" si="5"/>
        <v>0</v>
      </c>
      <c r="R11" s="70">
        <f t="shared" si="6"/>
        <v>0</v>
      </c>
      <c r="S11" s="70">
        <f t="shared" si="7"/>
        <v>0</v>
      </c>
      <c r="T11" s="70">
        <f t="shared" si="8"/>
        <v>0</v>
      </c>
      <c r="U11" s="70">
        <f t="shared" si="0"/>
        <v>0</v>
      </c>
      <c r="V11" s="345">
        <f t="shared" si="9"/>
        <v>0</v>
      </c>
      <c r="W11" s="345">
        <f t="shared" si="10"/>
        <v>0</v>
      </c>
      <c r="X11" s="85"/>
      <c r="Y11" s="85">
        <v>0.4</v>
      </c>
      <c r="Z11" s="85">
        <v>0</v>
      </c>
      <c r="AA11" s="86">
        <f t="shared" si="1"/>
        <v>0</v>
      </c>
      <c r="AB11" s="86">
        <f t="shared" si="2"/>
        <v>0</v>
      </c>
    </row>
    <row r="12" spans="1:28" ht="21" x14ac:dyDescent="0.25">
      <c r="A12" s="85" t="s">
        <v>259</v>
      </c>
      <c r="B12" s="85" t="s">
        <v>243</v>
      </c>
      <c r="C12" s="85" t="s">
        <v>60</v>
      </c>
      <c r="D12" s="111"/>
      <c r="E12" s="111"/>
      <c r="F12" s="85">
        <v>100</v>
      </c>
      <c r="G12" s="85">
        <v>3</v>
      </c>
      <c r="H12" s="85">
        <v>20</v>
      </c>
      <c r="I12" s="85">
        <v>8</v>
      </c>
      <c r="J12" s="85">
        <v>10.8</v>
      </c>
      <c r="K12" s="85">
        <v>38</v>
      </c>
      <c r="L12" s="85">
        <v>100</v>
      </c>
      <c r="M12" s="85">
        <v>40</v>
      </c>
      <c r="N12" s="85">
        <v>116.4</v>
      </c>
      <c r="O12" s="85">
        <f t="shared" si="3"/>
        <v>120</v>
      </c>
      <c r="P12" s="50">
        <f t="shared" si="4"/>
        <v>0</v>
      </c>
      <c r="Q12" s="70">
        <f t="shared" si="5"/>
        <v>0</v>
      </c>
      <c r="R12" s="70">
        <f t="shared" si="6"/>
        <v>0</v>
      </c>
      <c r="S12" s="70">
        <f t="shared" si="7"/>
        <v>0</v>
      </c>
      <c r="T12" s="70">
        <f t="shared" si="8"/>
        <v>0</v>
      </c>
      <c r="U12" s="70">
        <f t="shared" si="0"/>
        <v>0</v>
      </c>
      <c r="V12" s="345">
        <f t="shared" si="9"/>
        <v>0</v>
      </c>
      <c r="W12" s="345">
        <f t="shared" si="10"/>
        <v>0</v>
      </c>
      <c r="X12" s="85"/>
      <c r="Y12" s="85">
        <v>0.4</v>
      </c>
      <c r="Z12" s="85">
        <v>0</v>
      </c>
      <c r="AA12" s="86">
        <f t="shared" si="1"/>
        <v>0</v>
      </c>
      <c r="AB12" s="86">
        <f t="shared" si="2"/>
        <v>0</v>
      </c>
    </row>
    <row r="13" spans="1:28" ht="21" x14ac:dyDescent="0.25">
      <c r="A13" s="85" t="s">
        <v>259</v>
      </c>
      <c r="B13" s="85" t="s">
        <v>243</v>
      </c>
      <c r="C13" s="85" t="s">
        <v>129</v>
      </c>
      <c r="D13" s="111"/>
      <c r="E13" s="111"/>
      <c r="F13" s="85">
        <v>100</v>
      </c>
      <c r="G13" s="85"/>
      <c r="H13" s="85"/>
      <c r="I13" s="85"/>
      <c r="J13" s="85"/>
      <c r="K13" s="85">
        <v>41</v>
      </c>
      <c r="L13" s="85">
        <v>120</v>
      </c>
      <c r="M13" s="85">
        <v>48</v>
      </c>
      <c r="N13" s="85">
        <v>127.2</v>
      </c>
      <c r="O13" s="85">
        <f t="shared" si="3"/>
        <v>120</v>
      </c>
      <c r="P13" s="50">
        <f t="shared" si="4"/>
        <v>0</v>
      </c>
      <c r="Q13" s="70">
        <f t="shared" si="5"/>
        <v>0</v>
      </c>
      <c r="R13" s="70">
        <f t="shared" si="6"/>
        <v>0</v>
      </c>
      <c r="S13" s="70">
        <f t="shared" si="7"/>
        <v>0</v>
      </c>
      <c r="T13" s="70">
        <f t="shared" si="8"/>
        <v>0</v>
      </c>
      <c r="U13" s="70">
        <f t="shared" si="0"/>
        <v>0</v>
      </c>
      <c r="V13" s="345">
        <f t="shared" si="9"/>
        <v>0</v>
      </c>
      <c r="W13" s="345">
        <f t="shared" si="10"/>
        <v>0</v>
      </c>
      <c r="X13" s="85"/>
      <c r="Y13" s="85">
        <v>0.4</v>
      </c>
      <c r="Z13" s="85">
        <v>0</v>
      </c>
      <c r="AA13" s="86">
        <f t="shared" si="1"/>
        <v>0</v>
      </c>
      <c r="AB13" s="86">
        <f t="shared" si="2"/>
        <v>0</v>
      </c>
    </row>
    <row r="14" spans="1:28" x14ac:dyDescent="0.25">
      <c r="A14" s="85" t="s">
        <v>244</v>
      </c>
      <c r="B14" s="85" t="s">
        <v>72</v>
      </c>
      <c r="C14" s="85" t="s">
        <v>56</v>
      </c>
      <c r="D14" s="111"/>
      <c r="E14" s="111"/>
      <c r="F14" s="85">
        <v>220</v>
      </c>
      <c r="G14" s="85">
        <v>4.3</v>
      </c>
      <c r="H14" s="85">
        <v>22.3</v>
      </c>
      <c r="I14" s="85">
        <v>8.9</v>
      </c>
      <c r="J14" s="85">
        <v>13.2</v>
      </c>
      <c r="K14" s="85">
        <v>25.7</v>
      </c>
      <c r="L14" s="85">
        <v>80.7</v>
      </c>
      <c r="M14" s="85">
        <v>32.299999999999997</v>
      </c>
      <c r="N14" s="85">
        <v>78.8</v>
      </c>
      <c r="O14" s="85">
        <f t="shared" si="3"/>
        <v>103</v>
      </c>
      <c r="P14" s="50">
        <f t="shared" si="4"/>
        <v>0</v>
      </c>
      <c r="Q14" s="70">
        <f t="shared" si="5"/>
        <v>0</v>
      </c>
      <c r="R14" s="70">
        <f t="shared" si="6"/>
        <v>0</v>
      </c>
      <c r="S14" s="70">
        <f t="shared" si="7"/>
        <v>0</v>
      </c>
      <c r="T14" s="70">
        <f t="shared" si="8"/>
        <v>0</v>
      </c>
      <c r="U14" s="70">
        <f t="shared" si="0"/>
        <v>0</v>
      </c>
      <c r="V14" s="345">
        <f t="shared" si="9"/>
        <v>0</v>
      </c>
      <c r="W14" s="345">
        <f t="shared" si="10"/>
        <v>0</v>
      </c>
      <c r="X14" s="85"/>
      <c r="Y14" s="85">
        <v>0.6</v>
      </c>
      <c r="Z14" s="85">
        <v>0.6</v>
      </c>
      <c r="AA14" s="86">
        <f t="shared" si="1"/>
        <v>0</v>
      </c>
      <c r="AB14" s="86">
        <f t="shared" si="2"/>
        <v>0</v>
      </c>
    </row>
    <row r="15" spans="1:28" ht="21" x14ac:dyDescent="0.25">
      <c r="A15" s="85" t="s">
        <v>244</v>
      </c>
      <c r="B15" s="85" t="s">
        <v>72</v>
      </c>
      <c r="C15" s="85" t="s">
        <v>127</v>
      </c>
      <c r="D15" s="111"/>
      <c r="E15" s="111"/>
      <c r="F15" s="85">
        <v>220</v>
      </c>
      <c r="G15" s="85"/>
      <c r="H15" s="85"/>
      <c r="I15" s="85"/>
      <c r="J15" s="85"/>
      <c r="K15" s="85">
        <v>30</v>
      </c>
      <c r="L15" s="85">
        <v>103</v>
      </c>
      <c r="M15" s="85">
        <v>41.2</v>
      </c>
      <c r="N15" s="85">
        <v>92</v>
      </c>
      <c r="O15" s="85">
        <f t="shared" si="3"/>
        <v>103</v>
      </c>
      <c r="P15" s="50">
        <f t="shared" si="4"/>
        <v>0</v>
      </c>
      <c r="Q15" s="70">
        <f t="shared" si="5"/>
        <v>0</v>
      </c>
      <c r="R15" s="70">
        <f t="shared" si="6"/>
        <v>0</v>
      </c>
      <c r="S15" s="70">
        <f t="shared" si="7"/>
        <v>0</v>
      </c>
      <c r="T15" s="70">
        <f t="shared" si="8"/>
        <v>0</v>
      </c>
      <c r="U15" s="70">
        <f t="shared" si="0"/>
        <v>0</v>
      </c>
      <c r="V15" s="345">
        <f t="shared" si="9"/>
        <v>0</v>
      </c>
      <c r="W15" s="345">
        <f t="shared" si="10"/>
        <v>0</v>
      </c>
      <c r="X15" s="85"/>
      <c r="Y15" s="85">
        <v>0.6</v>
      </c>
      <c r="Z15" s="85">
        <v>0.6</v>
      </c>
      <c r="AA15" s="86">
        <f t="shared" si="1"/>
        <v>0</v>
      </c>
      <c r="AB15" s="86">
        <f t="shared" si="2"/>
        <v>0</v>
      </c>
    </row>
    <row r="16" spans="1:28" ht="21" x14ac:dyDescent="0.25">
      <c r="A16" s="85" t="s">
        <v>244</v>
      </c>
      <c r="B16" s="85" t="s">
        <v>72</v>
      </c>
      <c r="C16" s="85" t="s">
        <v>59</v>
      </c>
      <c r="D16" s="111"/>
      <c r="E16" s="111"/>
      <c r="F16" s="85">
        <v>220</v>
      </c>
      <c r="G16" s="85">
        <v>3.3</v>
      </c>
      <c r="H16" s="85">
        <v>14.6</v>
      </c>
      <c r="I16" s="85">
        <v>5.8</v>
      </c>
      <c r="J16" s="85">
        <v>10.6</v>
      </c>
      <c r="K16" s="85">
        <v>26.3</v>
      </c>
      <c r="L16" s="85">
        <v>88.4</v>
      </c>
      <c r="M16" s="85">
        <v>35.4</v>
      </c>
      <c r="N16" s="85">
        <v>81.400000000000006</v>
      </c>
      <c r="O16" s="85">
        <f t="shared" si="3"/>
        <v>103</v>
      </c>
      <c r="P16" s="50">
        <f t="shared" si="4"/>
        <v>0</v>
      </c>
      <c r="Q16" s="70">
        <f t="shared" si="5"/>
        <v>0</v>
      </c>
      <c r="R16" s="70">
        <f t="shared" si="6"/>
        <v>0</v>
      </c>
      <c r="S16" s="70">
        <f t="shared" si="7"/>
        <v>0</v>
      </c>
      <c r="T16" s="70">
        <f t="shared" si="8"/>
        <v>0</v>
      </c>
      <c r="U16" s="70">
        <f t="shared" si="0"/>
        <v>0</v>
      </c>
      <c r="V16" s="345">
        <f t="shared" si="9"/>
        <v>0</v>
      </c>
      <c r="W16" s="345">
        <f t="shared" si="10"/>
        <v>0</v>
      </c>
      <c r="X16" s="85"/>
      <c r="Y16" s="85">
        <v>0.6</v>
      </c>
      <c r="Z16" s="85">
        <v>0.6</v>
      </c>
      <c r="AA16" s="86">
        <f t="shared" si="1"/>
        <v>0</v>
      </c>
      <c r="AB16" s="86">
        <f t="shared" si="2"/>
        <v>0</v>
      </c>
    </row>
    <row r="17" spans="1:28" ht="21" x14ac:dyDescent="0.25">
      <c r="A17" s="85" t="s">
        <v>244</v>
      </c>
      <c r="B17" s="85" t="s">
        <v>72</v>
      </c>
      <c r="C17" s="85" t="s">
        <v>128</v>
      </c>
      <c r="D17" s="111"/>
      <c r="E17" s="111"/>
      <c r="F17" s="85">
        <v>220</v>
      </c>
      <c r="G17" s="85"/>
      <c r="H17" s="85"/>
      <c r="I17" s="85"/>
      <c r="J17" s="85"/>
      <c r="K17" s="85">
        <v>29.6</v>
      </c>
      <c r="L17" s="85">
        <v>103</v>
      </c>
      <c r="M17" s="85">
        <v>41.2</v>
      </c>
      <c r="N17" s="85">
        <v>92</v>
      </c>
      <c r="O17" s="85">
        <f t="shared" si="3"/>
        <v>103</v>
      </c>
      <c r="P17" s="50">
        <f t="shared" si="4"/>
        <v>0</v>
      </c>
      <c r="Q17" s="70">
        <f t="shared" si="5"/>
        <v>0</v>
      </c>
      <c r="R17" s="70">
        <f t="shared" si="6"/>
        <v>0</v>
      </c>
      <c r="S17" s="70">
        <f t="shared" si="7"/>
        <v>0</v>
      </c>
      <c r="T17" s="70">
        <f t="shared" si="8"/>
        <v>0</v>
      </c>
      <c r="U17" s="70">
        <f t="shared" si="0"/>
        <v>0</v>
      </c>
      <c r="V17" s="345">
        <f t="shared" si="9"/>
        <v>0</v>
      </c>
      <c r="W17" s="345">
        <f t="shared" si="10"/>
        <v>0</v>
      </c>
      <c r="X17" s="85"/>
      <c r="Y17" s="85">
        <v>0.6</v>
      </c>
      <c r="Z17" s="85">
        <v>0.6</v>
      </c>
      <c r="AA17" s="86">
        <f t="shared" si="1"/>
        <v>0</v>
      </c>
      <c r="AB17" s="86">
        <f t="shared" si="2"/>
        <v>0</v>
      </c>
    </row>
    <row r="18" spans="1:28" ht="21" x14ac:dyDescent="0.25">
      <c r="A18" s="85" t="s">
        <v>244</v>
      </c>
      <c r="B18" s="85" t="s">
        <v>72</v>
      </c>
      <c r="C18" s="85" t="s">
        <v>46</v>
      </c>
      <c r="D18" s="111"/>
      <c r="E18" s="111"/>
      <c r="F18" s="85">
        <v>220</v>
      </c>
      <c r="G18" s="85">
        <v>13.7</v>
      </c>
      <c r="H18" s="85">
        <v>60.7</v>
      </c>
      <c r="I18" s="85">
        <v>24.3</v>
      </c>
      <c r="J18" s="85">
        <v>49.2</v>
      </c>
      <c r="K18" s="85">
        <v>12</v>
      </c>
      <c r="L18" s="85">
        <v>42.3</v>
      </c>
      <c r="M18" s="85">
        <v>16.899999999999999</v>
      </c>
      <c r="N18" s="85">
        <v>42.8</v>
      </c>
      <c r="O18" s="85">
        <f t="shared" si="3"/>
        <v>103</v>
      </c>
      <c r="P18" s="50">
        <f t="shared" si="4"/>
        <v>0</v>
      </c>
      <c r="Q18" s="70">
        <f t="shared" si="5"/>
        <v>0</v>
      </c>
      <c r="R18" s="70">
        <f t="shared" si="6"/>
        <v>0</v>
      </c>
      <c r="S18" s="70">
        <f t="shared" si="7"/>
        <v>0</v>
      </c>
      <c r="T18" s="70">
        <f t="shared" si="8"/>
        <v>0</v>
      </c>
      <c r="U18" s="70">
        <f t="shared" si="0"/>
        <v>0</v>
      </c>
      <c r="V18" s="345">
        <f t="shared" si="9"/>
        <v>0</v>
      </c>
      <c r="W18" s="345">
        <f t="shared" si="10"/>
        <v>0</v>
      </c>
      <c r="X18" s="85"/>
      <c r="Y18" s="85">
        <v>0.6</v>
      </c>
      <c r="Z18" s="85">
        <v>0.6</v>
      </c>
      <c r="AA18" s="86">
        <f t="shared" si="1"/>
        <v>0</v>
      </c>
      <c r="AB18" s="86">
        <f t="shared" si="2"/>
        <v>0</v>
      </c>
    </row>
    <row r="19" spans="1:28" ht="21" x14ac:dyDescent="0.25">
      <c r="A19" s="85" t="s">
        <v>244</v>
      </c>
      <c r="B19" s="85" t="s">
        <v>72</v>
      </c>
      <c r="C19" s="85" t="s">
        <v>47</v>
      </c>
      <c r="D19" s="111"/>
      <c r="E19" s="111"/>
      <c r="F19" s="85">
        <v>220</v>
      </c>
      <c r="G19" s="85">
        <v>7.7</v>
      </c>
      <c r="H19" s="85">
        <v>34</v>
      </c>
      <c r="I19" s="85">
        <v>13.6</v>
      </c>
      <c r="J19" s="85">
        <v>27.1</v>
      </c>
      <c r="K19" s="85">
        <v>18.7</v>
      </c>
      <c r="L19" s="85">
        <v>69</v>
      </c>
      <c r="M19" s="85">
        <v>27.6</v>
      </c>
      <c r="N19" s="85">
        <v>64.900000000000006</v>
      </c>
      <c r="O19" s="85">
        <f t="shared" si="3"/>
        <v>103</v>
      </c>
      <c r="P19" s="50">
        <f t="shared" si="4"/>
        <v>0</v>
      </c>
      <c r="Q19" s="70">
        <f t="shared" si="5"/>
        <v>0</v>
      </c>
      <c r="R19" s="70">
        <f t="shared" si="6"/>
        <v>0</v>
      </c>
      <c r="S19" s="70">
        <f t="shared" si="7"/>
        <v>0</v>
      </c>
      <c r="T19" s="70">
        <f t="shared" si="8"/>
        <v>0</v>
      </c>
      <c r="U19" s="70">
        <f t="shared" si="0"/>
        <v>0</v>
      </c>
      <c r="V19" s="345">
        <f t="shared" si="9"/>
        <v>0</v>
      </c>
      <c r="W19" s="345">
        <f t="shared" si="10"/>
        <v>0</v>
      </c>
      <c r="X19" s="85"/>
      <c r="Y19" s="85">
        <v>0.6</v>
      </c>
      <c r="Z19" s="85">
        <v>0.6</v>
      </c>
      <c r="AA19" s="86">
        <f t="shared" si="1"/>
        <v>0</v>
      </c>
      <c r="AB19" s="86">
        <f t="shared" si="2"/>
        <v>0</v>
      </c>
    </row>
    <row r="20" spans="1:28" ht="21" x14ac:dyDescent="0.25">
      <c r="A20" s="85" t="s">
        <v>244</v>
      </c>
      <c r="B20" s="85" t="s">
        <v>72</v>
      </c>
      <c r="C20" s="85" t="s">
        <v>45</v>
      </c>
      <c r="D20" s="111"/>
      <c r="E20" s="111"/>
      <c r="F20" s="85">
        <v>220</v>
      </c>
      <c r="G20" s="85">
        <v>22.3</v>
      </c>
      <c r="H20" s="85">
        <v>103</v>
      </c>
      <c r="I20" s="85">
        <v>41.2</v>
      </c>
      <c r="J20" s="85">
        <v>92</v>
      </c>
      <c r="K20" s="85"/>
      <c r="L20" s="85"/>
      <c r="M20" s="85"/>
      <c r="N20" s="85"/>
      <c r="O20" s="85">
        <f t="shared" si="3"/>
        <v>103</v>
      </c>
      <c r="P20" s="50">
        <f t="shared" si="4"/>
        <v>0</v>
      </c>
      <c r="Q20" s="70">
        <f t="shared" si="5"/>
        <v>0</v>
      </c>
      <c r="R20" s="70">
        <f t="shared" si="6"/>
        <v>0</v>
      </c>
      <c r="S20" s="70">
        <f t="shared" si="7"/>
        <v>0</v>
      </c>
      <c r="T20" s="70">
        <f t="shared" si="8"/>
        <v>0</v>
      </c>
      <c r="U20" s="70">
        <f t="shared" si="0"/>
        <v>0</v>
      </c>
      <c r="V20" s="345">
        <f t="shared" si="9"/>
        <v>0</v>
      </c>
      <c r="W20" s="345">
        <f t="shared" si="10"/>
        <v>0</v>
      </c>
      <c r="X20" s="85"/>
      <c r="Y20" s="85">
        <v>0.6</v>
      </c>
      <c r="Z20" s="85">
        <v>0.6</v>
      </c>
      <c r="AA20" s="86">
        <f t="shared" si="1"/>
        <v>0</v>
      </c>
      <c r="AB20" s="86">
        <f t="shared" si="2"/>
        <v>0</v>
      </c>
    </row>
    <row r="21" spans="1:28" x14ac:dyDescent="0.25">
      <c r="A21" s="85" t="s">
        <v>244</v>
      </c>
      <c r="B21" s="85" t="s">
        <v>72</v>
      </c>
      <c r="C21" s="85" t="s">
        <v>57</v>
      </c>
      <c r="D21" s="111"/>
      <c r="E21" s="111"/>
      <c r="F21" s="85">
        <v>220</v>
      </c>
      <c r="G21" s="85">
        <v>22</v>
      </c>
      <c r="H21" s="85">
        <v>103</v>
      </c>
      <c r="I21" s="85">
        <v>41.2</v>
      </c>
      <c r="J21" s="85">
        <v>92</v>
      </c>
      <c r="K21" s="85"/>
      <c r="L21" s="85"/>
      <c r="M21" s="85"/>
      <c r="N21" s="85"/>
      <c r="O21" s="85">
        <f t="shared" si="3"/>
        <v>103</v>
      </c>
      <c r="P21" s="50">
        <f t="shared" si="4"/>
        <v>0</v>
      </c>
      <c r="Q21" s="70">
        <f t="shared" si="5"/>
        <v>0</v>
      </c>
      <c r="R21" s="70">
        <f t="shared" si="6"/>
        <v>0</v>
      </c>
      <c r="S21" s="70">
        <f t="shared" si="7"/>
        <v>0</v>
      </c>
      <c r="T21" s="70">
        <f t="shared" si="8"/>
        <v>0</v>
      </c>
      <c r="U21" s="70">
        <f t="shared" si="0"/>
        <v>0</v>
      </c>
      <c r="V21" s="345">
        <f t="shared" si="9"/>
        <v>0</v>
      </c>
      <c r="W21" s="345">
        <f t="shared" si="10"/>
        <v>0</v>
      </c>
      <c r="X21" s="85"/>
      <c r="Y21" s="85">
        <v>0.6</v>
      </c>
      <c r="Z21" s="85">
        <v>0.6</v>
      </c>
      <c r="AA21" s="86">
        <f t="shared" si="1"/>
        <v>0</v>
      </c>
      <c r="AB21" s="86">
        <f t="shared" si="2"/>
        <v>0</v>
      </c>
    </row>
    <row r="22" spans="1:28" ht="21" x14ac:dyDescent="0.25">
      <c r="A22" s="85" t="s">
        <v>244</v>
      </c>
      <c r="B22" s="85" t="s">
        <v>72</v>
      </c>
      <c r="C22" s="85" t="s">
        <v>49</v>
      </c>
      <c r="D22" s="111"/>
      <c r="E22" s="111"/>
      <c r="F22" s="85">
        <v>220</v>
      </c>
      <c r="G22" s="85">
        <v>3.3</v>
      </c>
      <c r="H22" s="85">
        <v>14.6</v>
      </c>
      <c r="I22" s="85">
        <v>5.8</v>
      </c>
      <c r="J22" s="85">
        <v>8.6</v>
      </c>
      <c r="K22" s="85">
        <v>33</v>
      </c>
      <c r="L22" s="85">
        <v>88.4</v>
      </c>
      <c r="M22" s="85">
        <v>35.4</v>
      </c>
      <c r="N22" s="85">
        <v>83.4</v>
      </c>
      <c r="O22" s="85">
        <f t="shared" si="3"/>
        <v>103</v>
      </c>
      <c r="P22" s="50">
        <f t="shared" si="4"/>
        <v>0</v>
      </c>
      <c r="Q22" s="70">
        <f t="shared" si="5"/>
        <v>0</v>
      </c>
      <c r="R22" s="70">
        <f t="shared" si="6"/>
        <v>0</v>
      </c>
      <c r="S22" s="70">
        <f t="shared" si="7"/>
        <v>0</v>
      </c>
      <c r="T22" s="70">
        <f t="shared" si="8"/>
        <v>0</v>
      </c>
      <c r="U22" s="70">
        <f t="shared" si="0"/>
        <v>0</v>
      </c>
      <c r="V22" s="345">
        <f t="shared" si="9"/>
        <v>0</v>
      </c>
      <c r="W22" s="345">
        <f t="shared" si="10"/>
        <v>0</v>
      </c>
      <c r="X22" s="85"/>
      <c r="Y22" s="85">
        <v>0.6</v>
      </c>
      <c r="Z22" s="85">
        <v>0.6</v>
      </c>
      <c r="AA22" s="86">
        <f t="shared" si="1"/>
        <v>0</v>
      </c>
      <c r="AB22" s="86">
        <f t="shared" si="2"/>
        <v>0</v>
      </c>
    </row>
    <row r="23" spans="1:28" ht="21" x14ac:dyDescent="0.25">
      <c r="A23" s="85" t="s">
        <v>244</v>
      </c>
      <c r="B23" s="85" t="s">
        <v>72</v>
      </c>
      <c r="C23" s="85" t="s">
        <v>126</v>
      </c>
      <c r="D23" s="111"/>
      <c r="E23" s="111"/>
      <c r="F23" s="85">
        <v>220</v>
      </c>
      <c r="G23" s="85"/>
      <c r="H23" s="85"/>
      <c r="I23" s="85"/>
      <c r="J23" s="85"/>
      <c r="K23" s="85">
        <v>36.299999999999997</v>
      </c>
      <c r="L23" s="85">
        <v>103</v>
      </c>
      <c r="M23" s="85">
        <v>41.2</v>
      </c>
      <c r="N23" s="85">
        <v>92</v>
      </c>
      <c r="O23" s="85">
        <f t="shared" si="3"/>
        <v>103</v>
      </c>
      <c r="P23" s="50">
        <f t="shared" si="4"/>
        <v>0</v>
      </c>
      <c r="Q23" s="70">
        <f t="shared" si="5"/>
        <v>0</v>
      </c>
      <c r="R23" s="70">
        <f t="shared" si="6"/>
        <v>0</v>
      </c>
      <c r="S23" s="70">
        <f t="shared" si="7"/>
        <v>0</v>
      </c>
      <c r="T23" s="70">
        <f t="shared" si="8"/>
        <v>0</v>
      </c>
      <c r="U23" s="70">
        <f t="shared" si="0"/>
        <v>0</v>
      </c>
      <c r="V23" s="345">
        <f t="shared" si="9"/>
        <v>0</v>
      </c>
      <c r="W23" s="345">
        <f t="shared" si="10"/>
        <v>0</v>
      </c>
      <c r="X23" s="85"/>
      <c r="Y23" s="85">
        <v>0.6</v>
      </c>
      <c r="Z23" s="85">
        <v>0.6</v>
      </c>
      <c r="AA23" s="86">
        <f t="shared" si="1"/>
        <v>0</v>
      </c>
      <c r="AB23" s="86">
        <f t="shared" si="2"/>
        <v>0</v>
      </c>
    </row>
    <row r="24" spans="1:28" ht="21" x14ac:dyDescent="0.25">
      <c r="A24" s="85" t="s">
        <v>244</v>
      </c>
      <c r="B24" s="85" t="s">
        <v>72</v>
      </c>
      <c r="C24" s="85" t="s">
        <v>58</v>
      </c>
      <c r="D24" s="111"/>
      <c r="E24" s="111"/>
      <c r="F24" s="85">
        <v>220</v>
      </c>
      <c r="G24" s="85">
        <v>11.3</v>
      </c>
      <c r="H24" s="85">
        <v>52.3</v>
      </c>
      <c r="I24" s="85">
        <v>20.9</v>
      </c>
      <c r="J24" s="85">
        <v>29.6</v>
      </c>
      <c r="K24" s="85">
        <v>23.7</v>
      </c>
      <c r="L24" s="85">
        <v>50.7</v>
      </c>
      <c r="M24" s="85">
        <v>20.3</v>
      </c>
      <c r="N24" s="85">
        <v>62.4</v>
      </c>
      <c r="O24" s="85">
        <f t="shared" si="3"/>
        <v>103</v>
      </c>
      <c r="P24" s="50">
        <f t="shared" si="4"/>
        <v>0</v>
      </c>
      <c r="Q24" s="70">
        <f t="shared" si="5"/>
        <v>0</v>
      </c>
      <c r="R24" s="70">
        <f t="shared" si="6"/>
        <v>0</v>
      </c>
      <c r="S24" s="70">
        <f t="shared" si="7"/>
        <v>0</v>
      </c>
      <c r="T24" s="70">
        <f t="shared" si="8"/>
        <v>0</v>
      </c>
      <c r="U24" s="70">
        <f t="shared" si="0"/>
        <v>0</v>
      </c>
      <c r="V24" s="345">
        <f t="shared" si="9"/>
        <v>0</v>
      </c>
      <c r="W24" s="345">
        <f t="shared" si="10"/>
        <v>0</v>
      </c>
      <c r="X24" s="85"/>
      <c r="Y24" s="85">
        <v>0.6</v>
      </c>
      <c r="Z24" s="85">
        <v>0.6</v>
      </c>
      <c r="AA24" s="86">
        <f t="shared" si="1"/>
        <v>0</v>
      </c>
      <c r="AB24" s="86">
        <f t="shared" si="2"/>
        <v>0</v>
      </c>
    </row>
    <row r="25" spans="1:28" ht="21" x14ac:dyDescent="0.25">
      <c r="A25" s="85" t="s">
        <v>244</v>
      </c>
      <c r="B25" s="85" t="s">
        <v>243</v>
      </c>
      <c r="C25" s="85" t="s">
        <v>56</v>
      </c>
      <c r="D25" s="111"/>
      <c r="E25" s="111"/>
      <c r="F25" s="85">
        <v>220</v>
      </c>
      <c r="G25" s="85">
        <v>4.3</v>
      </c>
      <c r="H25" s="85">
        <v>22.3</v>
      </c>
      <c r="I25" s="85">
        <v>8.9</v>
      </c>
      <c r="J25" s="85">
        <v>18.2</v>
      </c>
      <c r="K25" s="85">
        <v>25.7</v>
      </c>
      <c r="L25" s="85">
        <v>80.7</v>
      </c>
      <c r="M25" s="85">
        <v>32.299999999999997</v>
      </c>
      <c r="N25" s="85">
        <v>108.8</v>
      </c>
      <c r="O25" s="85">
        <f t="shared" si="3"/>
        <v>103</v>
      </c>
      <c r="P25" s="50">
        <f t="shared" si="4"/>
        <v>0</v>
      </c>
      <c r="Q25" s="70">
        <f t="shared" si="5"/>
        <v>0</v>
      </c>
      <c r="R25" s="70">
        <f t="shared" si="6"/>
        <v>0</v>
      </c>
      <c r="S25" s="70">
        <f t="shared" si="7"/>
        <v>0</v>
      </c>
      <c r="T25" s="70">
        <f t="shared" si="8"/>
        <v>0</v>
      </c>
      <c r="U25" s="70">
        <f t="shared" si="0"/>
        <v>0</v>
      </c>
      <c r="V25" s="345">
        <f t="shared" si="9"/>
        <v>0</v>
      </c>
      <c r="W25" s="345">
        <f t="shared" si="10"/>
        <v>0</v>
      </c>
      <c r="X25" s="85"/>
      <c r="Y25" s="85">
        <v>0.6</v>
      </c>
      <c r="Z25" s="85">
        <v>0.6</v>
      </c>
      <c r="AA25" s="86">
        <f t="shared" si="1"/>
        <v>0</v>
      </c>
      <c r="AB25" s="86">
        <f t="shared" si="2"/>
        <v>0</v>
      </c>
    </row>
    <row r="26" spans="1:28" ht="21" x14ac:dyDescent="0.25">
      <c r="A26" s="85" t="s">
        <v>244</v>
      </c>
      <c r="B26" s="85" t="s">
        <v>243</v>
      </c>
      <c r="C26" s="85" t="s">
        <v>127</v>
      </c>
      <c r="D26" s="111"/>
      <c r="E26" s="111"/>
      <c r="F26" s="85">
        <v>220</v>
      </c>
      <c r="G26" s="85"/>
      <c r="H26" s="85"/>
      <c r="I26" s="85"/>
      <c r="J26" s="85"/>
      <c r="K26" s="85">
        <v>30</v>
      </c>
      <c r="L26" s="85">
        <v>103</v>
      </c>
      <c r="M26" s="85">
        <v>41.2</v>
      </c>
      <c r="N26" s="85">
        <v>127</v>
      </c>
      <c r="O26" s="85">
        <f t="shared" si="3"/>
        <v>103</v>
      </c>
      <c r="P26" s="50">
        <f t="shared" si="4"/>
        <v>0</v>
      </c>
      <c r="Q26" s="70">
        <f t="shared" si="5"/>
        <v>0</v>
      </c>
      <c r="R26" s="70">
        <f t="shared" si="6"/>
        <v>0</v>
      </c>
      <c r="S26" s="70">
        <f t="shared" si="7"/>
        <v>0</v>
      </c>
      <c r="T26" s="70">
        <f t="shared" si="8"/>
        <v>0</v>
      </c>
      <c r="U26" s="70">
        <f t="shared" si="0"/>
        <v>0</v>
      </c>
      <c r="V26" s="345">
        <f t="shared" si="9"/>
        <v>0</v>
      </c>
      <c r="W26" s="345">
        <f t="shared" si="10"/>
        <v>0</v>
      </c>
      <c r="X26" s="85"/>
      <c r="Y26" s="85">
        <v>0.6</v>
      </c>
      <c r="Z26" s="85">
        <v>0.6</v>
      </c>
      <c r="AA26" s="86">
        <f t="shared" si="1"/>
        <v>0</v>
      </c>
      <c r="AB26" s="86">
        <f t="shared" si="2"/>
        <v>0</v>
      </c>
    </row>
    <row r="27" spans="1:28" ht="21" x14ac:dyDescent="0.25">
      <c r="A27" s="85" t="s">
        <v>244</v>
      </c>
      <c r="B27" s="85" t="s">
        <v>243</v>
      </c>
      <c r="C27" s="85" t="s">
        <v>59</v>
      </c>
      <c r="D27" s="111"/>
      <c r="E27" s="111"/>
      <c r="F27" s="85">
        <v>220</v>
      </c>
      <c r="G27" s="85">
        <v>3.3</v>
      </c>
      <c r="H27" s="85">
        <v>14.6</v>
      </c>
      <c r="I27" s="85">
        <v>5.8</v>
      </c>
      <c r="J27" s="85">
        <v>14.7</v>
      </c>
      <c r="K27" s="85">
        <v>26.3</v>
      </c>
      <c r="L27" s="85">
        <v>88.4</v>
      </c>
      <c r="M27" s="85">
        <v>35.4</v>
      </c>
      <c r="N27" s="85">
        <v>112.3</v>
      </c>
      <c r="O27" s="85">
        <f t="shared" si="3"/>
        <v>103</v>
      </c>
      <c r="P27" s="50">
        <f t="shared" si="4"/>
        <v>0</v>
      </c>
      <c r="Q27" s="70">
        <f t="shared" si="5"/>
        <v>0</v>
      </c>
      <c r="R27" s="70">
        <f t="shared" si="6"/>
        <v>0</v>
      </c>
      <c r="S27" s="70">
        <f t="shared" si="7"/>
        <v>0</v>
      </c>
      <c r="T27" s="70">
        <f t="shared" si="8"/>
        <v>0</v>
      </c>
      <c r="U27" s="70">
        <f t="shared" si="0"/>
        <v>0</v>
      </c>
      <c r="V27" s="345">
        <f t="shared" si="9"/>
        <v>0</v>
      </c>
      <c r="W27" s="345">
        <f t="shared" si="10"/>
        <v>0</v>
      </c>
      <c r="X27" s="85"/>
      <c r="Y27" s="85">
        <v>0.6</v>
      </c>
      <c r="Z27" s="85">
        <v>0.6</v>
      </c>
      <c r="AA27" s="86">
        <f t="shared" si="1"/>
        <v>0</v>
      </c>
      <c r="AB27" s="86">
        <f t="shared" si="2"/>
        <v>0</v>
      </c>
    </row>
    <row r="28" spans="1:28" ht="21" x14ac:dyDescent="0.25">
      <c r="A28" s="85" t="s">
        <v>244</v>
      </c>
      <c r="B28" s="85" t="s">
        <v>243</v>
      </c>
      <c r="C28" s="85" t="s">
        <v>128</v>
      </c>
      <c r="D28" s="111"/>
      <c r="E28" s="111"/>
      <c r="F28" s="85">
        <v>220</v>
      </c>
      <c r="G28" s="85"/>
      <c r="H28" s="85"/>
      <c r="I28" s="85"/>
      <c r="J28" s="85"/>
      <c r="K28" s="85">
        <v>29.6</v>
      </c>
      <c r="L28" s="85">
        <v>103</v>
      </c>
      <c r="M28" s="85">
        <v>41.2</v>
      </c>
      <c r="N28" s="85">
        <v>127</v>
      </c>
      <c r="O28" s="85">
        <f t="shared" si="3"/>
        <v>103</v>
      </c>
      <c r="P28" s="50">
        <f t="shared" si="4"/>
        <v>0</v>
      </c>
      <c r="Q28" s="70">
        <f t="shared" si="5"/>
        <v>0</v>
      </c>
      <c r="R28" s="70">
        <f t="shared" si="6"/>
        <v>0</v>
      </c>
      <c r="S28" s="70">
        <f t="shared" si="7"/>
        <v>0</v>
      </c>
      <c r="T28" s="70">
        <f t="shared" si="8"/>
        <v>0</v>
      </c>
      <c r="U28" s="70">
        <f t="shared" si="0"/>
        <v>0</v>
      </c>
      <c r="V28" s="345">
        <f t="shared" si="9"/>
        <v>0</v>
      </c>
      <c r="W28" s="345">
        <f t="shared" si="10"/>
        <v>0</v>
      </c>
      <c r="X28" s="85"/>
      <c r="Y28" s="85">
        <v>0.6</v>
      </c>
      <c r="Z28" s="85">
        <v>0.6</v>
      </c>
      <c r="AA28" s="86">
        <f t="shared" si="1"/>
        <v>0</v>
      </c>
      <c r="AB28" s="86">
        <f t="shared" si="2"/>
        <v>0</v>
      </c>
    </row>
    <row r="29" spans="1:28" ht="21" x14ac:dyDescent="0.25">
      <c r="A29" s="85" t="s">
        <v>244</v>
      </c>
      <c r="B29" s="85" t="s">
        <v>243</v>
      </c>
      <c r="C29" s="85" t="s">
        <v>46</v>
      </c>
      <c r="D29" s="111"/>
      <c r="E29" s="111"/>
      <c r="F29" s="85">
        <v>220</v>
      </c>
      <c r="G29" s="85">
        <v>13.7</v>
      </c>
      <c r="H29" s="85">
        <v>60.7</v>
      </c>
      <c r="I29" s="85">
        <v>24.3</v>
      </c>
      <c r="J29" s="85">
        <v>68</v>
      </c>
      <c r="K29" s="85">
        <v>12</v>
      </c>
      <c r="L29" s="85">
        <v>42.3</v>
      </c>
      <c r="M29" s="85">
        <v>16.899999999999999</v>
      </c>
      <c r="N29" s="85">
        <v>59</v>
      </c>
      <c r="O29" s="85">
        <f t="shared" si="3"/>
        <v>103</v>
      </c>
      <c r="P29" s="50">
        <f t="shared" si="4"/>
        <v>0</v>
      </c>
      <c r="Q29" s="70">
        <f t="shared" si="5"/>
        <v>0</v>
      </c>
      <c r="R29" s="70">
        <f t="shared" si="6"/>
        <v>0</v>
      </c>
      <c r="S29" s="70">
        <f t="shared" si="7"/>
        <v>0</v>
      </c>
      <c r="T29" s="70">
        <f t="shared" si="8"/>
        <v>0</v>
      </c>
      <c r="U29" s="70">
        <f t="shared" si="0"/>
        <v>0</v>
      </c>
      <c r="V29" s="345">
        <f t="shared" si="9"/>
        <v>0</v>
      </c>
      <c r="W29" s="345">
        <f t="shared" si="10"/>
        <v>0</v>
      </c>
      <c r="X29" s="85"/>
      <c r="Y29" s="85">
        <v>0.6</v>
      </c>
      <c r="Z29" s="85">
        <v>0.6</v>
      </c>
      <c r="AA29" s="86">
        <f t="shared" si="1"/>
        <v>0</v>
      </c>
      <c r="AB29" s="86">
        <f t="shared" si="2"/>
        <v>0</v>
      </c>
    </row>
    <row r="30" spans="1:28" ht="21" x14ac:dyDescent="0.25">
      <c r="A30" s="85" t="s">
        <v>244</v>
      </c>
      <c r="B30" s="85" t="s">
        <v>243</v>
      </c>
      <c r="C30" s="85" t="s">
        <v>47</v>
      </c>
      <c r="D30" s="111"/>
      <c r="E30" s="111"/>
      <c r="F30" s="85">
        <v>220</v>
      </c>
      <c r="G30" s="85">
        <v>7.7</v>
      </c>
      <c r="H30" s="85">
        <v>34</v>
      </c>
      <c r="I30" s="85">
        <v>13.6</v>
      </c>
      <c r="J30" s="85">
        <v>37.5</v>
      </c>
      <c r="K30" s="85">
        <v>18.7</v>
      </c>
      <c r="L30" s="85">
        <v>69</v>
      </c>
      <c r="M30" s="85">
        <v>27.6</v>
      </c>
      <c r="N30" s="85">
        <v>89.5</v>
      </c>
      <c r="O30" s="85">
        <f t="shared" si="3"/>
        <v>103</v>
      </c>
      <c r="P30" s="50">
        <f t="shared" si="4"/>
        <v>0</v>
      </c>
      <c r="Q30" s="70">
        <f t="shared" si="5"/>
        <v>0</v>
      </c>
      <c r="R30" s="70">
        <f t="shared" si="6"/>
        <v>0</v>
      </c>
      <c r="S30" s="70">
        <f t="shared" si="7"/>
        <v>0</v>
      </c>
      <c r="T30" s="70">
        <f t="shared" si="8"/>
        <v>0</v>
      </c>
      <c r="U30" s="70">
        <f t="shared" si="0"/>
        <v>0</v>
      </c>
      <c r="V30" s="345">
        <f t="shared" si="9"/>
        <v>0</v>
      </c>
      <c r="W30" s="345">
        <f t="shared" si="10"/>
        <v>0</v>
      </c>
      <c r="X30" s="85"/>
      <c r="Y30" s="85">
        <v>0.6</v>
      </c>
      <c r="Z30" s="85">
        <v>0.6</v>
      </c>
      <c r="AA30" s="86">
        <f t="shared" si="1"/>
        <v>0</v>
      </c>
      <c r="AB30" s="86">
        <f t="shared" si="2"/>
        <v>0</v>
      </c>
    </row>
    <row r="31" spans="1:28" ht="21" x14ac:dyDescent="0.25">
      <c r="A31" s="85" t="s">
        <v>244</v>
      </c>
      <c r="B31" s="85" t="s">
        <v>243</v>
      </c>
      <c r="C31" s="85" t="s">
        <v>45</v>
      </c>
      <c r="D31" s="111"/>
      <c r="E31" s="111"/>
      <c r="F31" s="85">
        <v>220</v>
      </c>
      <c r="G31" s="85">
        <v>22.3</v>
      </c>
      <c r="H31" s="85">
        <v>103</v>
      </c>
      <c r="I31" s="85">
        <v>41.2</v>
      </c>
      <c r="J31" s="85">
        <v>127</v>
      </c>
      <c r="K31" s="85"/>
      <c r="L31" s="85"/>
      <c r="M31" s="85"/>
      <c r="N31" s="85"/>
      <c r="O31" s="85">
        <f t="shared" si="3"/>
        <v>103</v>
      </c>
      <c r="P31" s="50">
        <f t="shared" si="4"/>
        <v>0</v>
      </c>
      <c r="Q31" s="70">
        <f t="shared" si="5"/>
        <v>0</v>
      </c>
      <c r="R31" s="70">
        <f t="shared" si="6"/>
        <v>0</v>
      </c>
      <c r="S31" s="70">
        <f t="shared" si="7"/>
        <v>0</v>
      </c>
      <c r="T31" s="70">
        <f t="shared" si="8"/>
        <v>0</v>
      </c>
      <c r="U31" s="70">
        <f t="shared" si="0"/>
        <v>0</v>
      </c>
      <c r="V31" s="345">
        <f t="shared" si="9"/>
        <v>0</v>
      </c>
      <c r="W31" s="345">
        <f t="shared" si="10"/>
        <v>0</v>
      </c>
      <c r="X31" s="85"/>
      <c r="Y31" s="85">
        <v>0.6</v>
      </c>
      <c r="Z31" s="85">
        <v>0.6</v>
      </c>
      <c r="AA31" s="86">
        <f t="shared" si="1"/>
        <v>0</v>
      </c>
      <c r="AB31" s="86">
        <f t="shared" si="2"/>
        <v>0</v>
      </c>
    </row>
    <row r="32" spans="1:28" ht="21" x14ac:dyDescent="0.25">
      <c r="A32" s="85" t="s">
        <v>244</v>
      </c>
      <c r="B32" s="85" t="s">
        <v>243</v>
      </c>
      <c r="C32" s="85" t="s">
        <v>57</v>
      </c>
      <c r="D32" s="111"/>
      <c r="E32" s="111"/>
      <c r="F32" s="85">
        <v>220</v>
      </c>
      <c r="G32" s="85">
        <v>22</v>
      </c>
      <c r="H32" s="85">
        <v>103</v>
      </c>
      <c r="I32" s="85">
        <v>41.2</v>
      </c>
      <c r="J32" s="85">
        <v>127</v>
      </c>
      <c r="K32" s="85"/>
      <c r="L32" s="85"/>
      <c r="M32" s="85"/>
      <c r="N32" s="85"/>
      <c r="O32" s="85">
        <f t="shared" si="3"/>
        <v>103</v>
      </c>
      <c r="P32" s="50">
        <f t="shared" si="4"/>
        <v>0</v>
      </c>
      <c r="Q32" s="70">
        <f t="shared" si="5"/>
        <v>0</v>
      </c>
      <c r="R32" s="70">
        <f t="shared" si="6"/>
        <v>0</v>
      </c>
      <c r="S32" s="70">
        <f t="shared" si="7"/>
        <v>0</v>
      </c>
      <c r="T32" s="70">
        <f t="shared" si="8"/>
        <v>0</v>
      </c>
      <c r="U32" s="70">
        <f t="shared" si="0"/>
        <v>0</v>
      </c>
      <c r="V32" s="345">
        <f t="shared" si="9"/>
        <v>0</v>
      </c>
      <c r="W32" s="345">
        <f t="shared" si="10"/>
        <v>0</v>
      </c>
      <c r="X32" s="85"/>
      <c r="Y32" s="85">
        <v>0.6</v>
      </c>
      <c r="Z32" s="85">
        <v>0.6</v>
      </c>
      <c r="AA32" s="86">
        <f t="shared" si="1"/>
        <v>0</v>
      </c>
      <c r="AB32" s="86">
        <f t="shared" si="2"/>
        <v>0</v>
      </c>
    </row>
    <row r="33" spans="1:28" ht="21" x14ac:dyDescent="0.25">
      <c r="A33" s="85" t="s">
        <v>244</v>
      </c>
      <c r="B33" s="85" t="s">
        <v>243</v>
      </c>
      <c r="C33" s="85" t="s">
        <v>49</v>
      </c>
      <c r="D33" s="111"/>
      <c r="E33" s="111"/>
      <c r="F33" s="85">
        <v>220</v>
      </c>
      <c r="G33" s="85">
        <v>3.3</v>
      </c>
      <c r="H33" s="85">
        <v>14.6</v>
      </c>
      <c r="I33" s="85">
        <v>5.8</v>
      </c>
      <c r="J33" s="85">
        <v>11.9</v>
      </c>
      <c r="K33" s="85">
        <v>33</v>
      </c>
      <c r="L33" s="85">
        <v>88.4</v>
      </c>
      <c r="M33" s="85">
        <v>35.4</v>
      </c>
      <c r="N33" s="85">
        <v>115.1</v>
      </c>
      <c r="O33" s="85">
        <f t="shared" si="3"/>
        <v>103</v>
      </c>
      <c r="P33" s="50">
        <f t="shared" si="4"/>
        <v>0</v>
      </c>
      <c r="Q33" s="70">
        <f t="shared" si="5"/>
        <v>0</v>
      </c>
      <c r="R33" s="70">
        <f t="shared" si="6"/>
        <v>0</v>
      </c>
      <c r="S33" s="70">
        <f t="shared" si="7"/>
        <v>0</v>
      </c>
      <c r="T33" s="70">
        <f t="shared" si="8"/>
        <v>0</v>
      </c>
      <c r="U33" s="70">
        <f t="shared" si="0"/>
        <v>0</v>
      </c>
      <c r="V33" s="345">
        <f t="shared" si="9"/>
        <v>0</v>
      </c>
      <c r="W33" s="345">
        <f t="shared" si="10"/>
        <v>0</v>
      </c>
      <c r="X33" s="85"/>
      <c r="Y33" s="85">
        <v>0.6</v>
      </c>
      <c r="Z33" s="85">
        <v>0.6</v>
      </c>
      <c r="AA33" s="86">
        <f t="shared" si="1"/>
        <v>0</v>
      </c>
      <c r="AB33" s="86">
        <f t="shared" si="2"/>
        <v>0</v>
      </c>
    </row>
    <row r="34" spans="1:28" ht="21" x14ac:dyDescent="0.25">
      <c r="A34" s="85" t="s">
        <v>244</v>
      </c>
      <c r="B34" s="85" t="s">
        <v>243</v>
      </c>
      <c r="C34" s="85" t="s">
        <v>126</v>
      </c>
      <c r="D34" s="111"/>
      <c r="E34" s="111"/>
      <c r="F34" s="85">
        <v>220</v>
      </c>
      <c r="G34" s="85"/>
      <c r="H34" s="85"/>
      <c r="I34" s="85"/>
      <c r="J34" s="85"/>
      <c r="K34" s="85">
        <v>36.299999999999997</v>
      </c>
      <c r="L34" s="85">
        <v>103</v>
      </c>
      <c r="M34" s="85">
        <v>41.2</v>
      </c>
      <c r="N34" s="85">
        <v>127</v>
      </c>
      <c r="O34" s="85">
        <f t="shared" si="3"/>
        <v>103</v>
      </c>
      <c r="P34" s="50">
        <f t="shared" si="4"/>
        <v>0</v>
      </c>
      <c r="Q34" s="70">
        <f t="shared" si="5"/>
        <v>0</v>
      </c>
      <c r="R34" s="70">
        <f t="shared" si="6"/>
        <v>0</v>
      </c>
      <c r="S34" s="70">
        <f t="shared" si="7"/>
        <v>0</v>
      </c>
      <c r="T34" s="70">
        <f t="shared" si="8"/>
        <v>0</v>
      </c>
      <c r="U34" s="70">
        <f t="shared" si="0"/>
        <v>0</v>
      </c>
      <c r="V34" s="345">
        <f t="shared" si="9"/>
        <v>0</v>
      </c>
      <c r="W34" s="345">
        <f t="shared" si="10"/>
        <v>0</v>
      </c>
      <c r="X34" s="85"/>
      <c r="Y34" s="85">
        <v>0.6</v>
      </c>
      <c r="Z34" s="85">
        <v>0.6</v>
      </c>
      <c r="AA34" s="86">
        <f t="shared" si="1"/>
        <v>0</v>
      </c>
      <c r="AB34" s="86">
        <f t="shared" si="2"/>
        <v>0</v>
      </c>
    </row>
    <row r="35" spans="1:28" ht="21" x14ac:dyDescent="0.25">
      <c r="A35" s="85" t="s">
        <v>244</v>
      </c>
      <c r="B35" s="85" t="s">
        <v>243</v>
      </c>
      <c r="C35" s="85" t="s">
        <v>58</v>
      </c>
      <c r="D35" s="111"/>
      <c r="E35" s="111"/>
      <c r="F35" s="85">
        <v>220</v>
      </c>
      <c r="G35" s="85">
        <v>11.3</v>
      </c>
      <c r="H35" s="85">
        <v>52.3</v>
      </c>
      <c r="I35" s="85">
        <v>20.9</v>
      </c>
      <c r="J35" s="85">
        <v>40.9</v>
      </c>
      <c r="K35" s="85">
        <v>23.7</v>
      </c>
      <c r="L35" s="85">
        <v>50.7</v>
      </c>
      <c r="M35" s="85">
        <v>20.3</v>
      </c>
      <c r="N35" s="85">
        <v>86.1</v>
      </c>
      <c r="O35" s="85">
        <f t="shared" si="3"/>
        <v>103</v>
      </c>
      <c r="P35" s="50">
        <f t="shared" si="4"/>
        <v>0</v>
      </c>
      <c r="Q35" s="70">
        <f t="shared" si="5"/>
        <v>0</v>
      </c>
      <c r="R35" s="70">
        <f t="shared" si="6"/>
        <v>0</v>
      </c>
      <c r="S35" s="70">
        <f t="shared" si="7"/>
        <v>0</v>
      </c>
      <c r="T35" s="70">
        <f t="shared" si="8"/>
        <v>0</v>
      </c>
      <c r="U35" s="70">
        <f t="shared" si="0"/>
        <v>0</v>
      </c>
      <c r="V35" s="345">
        <f t="shared" si="9"/>
        <v>0</v>
      </c>
      <c r="W35" s="345">
        <f t="shared" si="10"/>
        <v>0</v>
      </c>
      <c r="X35" s="85"/>
      <c r="Y35" s="85">
        <v>0.6</v>
      </c>
      <c r="Z35" s="85">
        <v>0.6</v>
      </c>
      <c r="AA35" s="86">
        <f t="shared" si="1"/>
        <v>0</v>
      </c>
      <c r="AB35" s="86">
        <f t="shared" si="2"/>
        <v>0</v>
      </c>
    </row>
    <row r="36" spans="1:28" ht="21" x14ac:dyDescent="0.25">
      <c r="A36" s="85" t="s">
        <v>248</v>
      </c>
      <c r="B36" s="85" t="s">
        <v>72</v>
      </c>
      <c r="C36" s="85" t="s">
        <v>56</v>
      </c>
      <c r="D36" s="111"/>
      <c r="E36" s="111"/>
      <c r="F36" s="85">
        <v>350</v>
      </c>
      <c r="G36" s="85">
        <v>3.2</v>
      </c>
      <c r="H36" s="85">
        <v>18</v>
      </c>
      <c r="I36" s="85">
        <v>7.2</v>
      </c>
      <c r="J36" s="85">
        <v>13.2</v>
      </c>
      <c r="K36" s="85">
        <v>23.5</v>
      </c>
      <c r="L36" s="85">
        <v>66</v>
      </c>
      <c r="M36" s="85">
        <v>26.4</v>
      </c>
      <c r="N36" s="85">
        <v>78.8</v>
      </c>
      <c r="O36" s="85">
        <f t="shared" si="3"/>
        <v>84</v>
      </c>
      <c r="P36" s="50">
        <f t="shared" si="4"/>
        <v>0</v>
      </c>
      <c r="Q36" s="70">
        <f t="shared" si="5"/>
        <v>0</v>
      </c>
      <c r="R36" s="70">
        <f t="shared" si="6"/>
        <v>0</v>
      </c>
      <c r="S36" s="70">
        <f t="shared" si="7"/>
        <v>0</v>
      </c>
      <c r="T36" s="70">
        <f t="shared" si="8"/>
        <v>0</v>
      </c>
      <c r="U36" s="70">
        <f t="shared" si="0"/>
        <v>0</v>
      </c>
      <c r="V36" s="345">
        <f t="shared" si="9"/>
        <v>0</v>
      </c>
      <c r="W36" s="345">
        <f t="shared" si="10"/>
        <v>0</v>
      </c>
      <c r="X36" s="85"/>
      <c r="Y36" s="85">
        <v>0.6</v>
      </c>
      <c r="Z36" s="85">
        <v>0.6</v>
      </c>
      <c r="AA36" s="86">
        <f t="shared" si="1"/>
        <v>0</v>
      </c>
      <c r="AB36" s="86">
        <f t="shared" si="2"/>
        <v>0</v>
      </c>
    </row>
    <row r="37" spans="1:28" ht="21" x14ac:dyDescent="0.25">
      <c r="A37" s="85" t="s">
        <v>250</v>
      </c>
      <c r="B37" s="85" t="s">
        <v>72</v>
      </c>
      <c r="C37" s="85" t="s">
        <v>56</v>
      </c>
      <c r="D37" s="111"/>
      <c r="E37" s="111"/>
      <c r="F37" s="85">
        <v>350</v>
      </c>
      <c r="G37" s="85">
        <v>3.2</v>
      </c>
      <c r="H37" s="85">
        <v>18</v>
      </c>
      <c r="I37" s="85">
        <v>7.2</v>
      </c>
      <c r="J37" s="85">
        <v>13.2</v>
      </c>
      <c r="K37" s="85">
        <v>23.5</v>
      </c>
      <c r="L37" s="85">
        <v>66</v>
      </c>
      <c r="M37" s="85">
        <v>26.4</v>
      </c>
      <c r="N37" s="85">
        <v>78.8</v>
      </c>
      <c r="O37" s="85">
        <f t="shared" si="3"/>
        <v>84</v>
      </c>
      <c r="P37" s="50">
        <f t="shared" si="4"/>
        <v>0</v>
      </c>
      <c r="Q37" s="70">
        <f t="shared" si="5"/>
        <v>0</v>
      </c>
      <c r="R37" s="70">
        <f t="shared" si="6"/>
        <v>0</v>
      </c>
      <c r="S37" s="70">
        <f t="shared" si="7"/>
        <v>0</v>
      </c>
      <c r="T37" s="70">
        <f t="shared" si="8"/>
        <v>0</v>
      </c>
      <c r="U37" s="70">
        <f t="shared" si="0"/>
        <v>0</v>
      </c>
      <c r="V37" s="345">
        <f t="shared" si="9"/>
        <v>0</v>
      </c>
      <c r="W37" s="345">
        <f t="shared" si="10"/>
        <v>0</v>
      </c>
      <c r="X37" s="85"/>
      <c r="Y37" s="85">
        <v>0.6</v>
      </c>
      <c r="Z37" s="85">
        <v>0.6</v>
      </c>
      <c r="AA37" s="86">
        <f t="shared" si="1"/>
        <v>0</v>
      </c>
      <c r="AB37" s="86">
        <f t="shared" si="2"/>
        <v>0</v>
      </c>
    </row>
    <row r="38" spans="1:28" ht="21" x14ac:dyDescent="0.25">
      <c r="A38" s="85" t="s">
        <v>248</v>
      </c>
      <c r="B38" s="85" t="s">
        <v>72</v>
      </c>
      <c r="C38" s="85" t="s">
        <v>127</v>
      </c>
      <c r="D38" s="111"/>
      <c r="E38" s="111"/>
      <c r="F38" s="85">
        <v>350</v>
      </c>
      <c r="G38" s="85"/>
      <c r="H38" s="85"/>
      <c r="I38" s="85"/>
      <c r="J38" s="85"/>
      <c r="K38" s="85">
        <v>26.7</v>
      </c>
      <c r="L38" s="85">
        <v>84</v>
      </c>
      <c r="M38" s="85">
        <v>33.6</v>
      </c>
      <c r="N38" s="85">
        <v>92</v>
      </c>
      <c r="O38" s="85">
        <f t="shared" si="3"/>
        <v>84</v>
      </c>
      <c r="P38" s="50">
        <f t="shared" si="4"/>
        <v>0</v>
      </c>
      <c r="Q38" s="70">
        <f t="shared" si="5"/>
        <v>0</v>
      </c>
      <c r="R38" s="70">
        <f t="shared" si="6"/>
        <v>0</v>
      </c>
      <c r="S38" s="70">
        <f t="shared" si="7"/>
        <v>0</v>
      </c>
      <c r="T38" s="70">
        <f t="shared" si="8"/>
        <v>0</v>
      </c>
      <c r="U38" s="70">
        <f t="shared" si="0"/>
        <v>0</v>
      </c>
      <c r="V38" s="345">
        <f t="shared" si="9"/>
        <v>0</v>
      </c>
      <c r="W38" s="345">
        <f t="shared" si="10"/>
        <v>0</v>
      </c>
      <c r="X38" s="85"/>
      <c r="Y38" s="85">
        <v>0.6</v>
      </c>
      <c r="Z38" s="85">
        <v>0.6</v>
      </c>
      <c r="AA38" s="86">
        <f t="shared" si="1"/>
        <v>0</v>
      </c>
      <c r="AB38" s="86">
        <f t="shared" si="2"/>
        <v>0</v>
      </c>
    </row>
    <row r="39" spans="1:28" ht="21" x14ac:dyDescent="0.25">
      <c r="A39" s="85" t="s">
        <v>250</v>
      </c>
      <c r="B39" s="85" t="s">
        <v>72</v>
      </c>
      <c r="C39" s="85" t="s">
        <v>127</v>
      </c>
      <c r="D39" s="111"/>
      <c r="E39" s="111"/>
      <c r="F39" s="85">
        <v>350</v>
      </c>
      <c r="G39" s="85"/>
      <c r="H39" s="85"/>
      <c r="I39" s="85"/>
      <c r="J39" s="85"/>
      <c r="K39" s="85">
        <v>26.7</v>
      </c>
      <c r="L39" s="85">
        <v>84</v>
      </c>
      <c r="M39" s="85">
        <v>33.6</v>
      </c>
      <c r="N39" s="85">
        <v>92</v>
      </c>
      <c r="O39" s="85">
        <f t="shared" si="3"/>
        <v>84</v>
      </c>
      <c r="P39" s="50">
        <f t="shared" si="4"/>
        <v>0</v>
      </c>
      <c r="Q39" s="70">
        <f t="shared" si="5"/>
        <v>0</v>
      </c>
      <c r="R39" s="70">
        <f t="shared" si="6"/>
        <v>0</v>
      </c>
      <c r="S39" s="70">
        <f t="shared" si="7"/>
        <v>0</v>
      </c>
      <c r="T39" s="70">
        <f t="shared" si="8"/>
        <v>0</v>
      </c>
      <c r="U39" s="70">
        <f t="shared" si="0"/>
        <v>0</v>
      </c>
      <c r="V39" s="345">
        <f t="shared" si="9"/>
        <v>0</v>
      </c>
      <c r="W39" s="345">
        <f t="shared" si="10"/>
        <v>0</v>
      </c>
      <c r="X39" s="85"/>
      <c r="Y39" s="85">
        <v>0.6</v>
      </c>
      <c r="Z39" s="85">
        <v>0.6</v>
      </c>
      <c r="AA39" s="86">
        <f t="shared" si="1"/>
        <v>0</v>
      </c>
      <c r="AB39" s="86">
        <f t="shared" si="2"/>
        <v>0</v>
      </c>
    </row>
    <row r="40" spans="1:28" ht="21" x14ac:dyDescent="0.25">
      <c r="A40" s="85" t="s">
        <v>248</v>
      </c>
      <c r="B40" s="85" t="s">
        <v>72</v>
      </c>
      <c r="C40" s="85" t="s">
        <v>59</v>
      </c>
      <c r="D40" s="111"/>
      <c r="E40" s="111"/>
      <c r="F40" s="85">
        <v>350</v>
      </c>
      <c r="G40" s="85">
        <v>2.8</v>
      </c>
      <c r="H40" s="85">
        <v>12</v>
      </c>
      <c r="I40" s="85">
        <v>4.8</v>
      </c>
      <c r="J40" s="85">
        <v>10.6</v>
      </c>
      <c r="K40" s="85">
        <v>24</v>
      </c>
      <c r="L40" s="85">
        <v>72</v>
      </c>
      <c r="M40" s="85">
        <v>28.8</v>
      </c>
      <c r="N40" s="85">
        <v>81.400000000000006</v>
      </c>
      <c r="O40" s="85">
        <f t="shared" si="3"/>
        <v>84</v>
      </c>
      <c r="P40" s="50">
        <f t="shared" si="4"/>
        <v>0</v>
      </c>
      <c r="Q40" s="70">
        <f t="shared" si="5"/>
        <v>0</v>
      </c>
      <c r="R40" s="70">
        <f t="shared" si="6"/>
        <v>0</v>
      </c>
      <c r="S40" s="70">
        <f t="shared" si="7"/>
        <v>0</v>
      </c>
      <c r="T40" s="70">
        <f t="shared" si="8"/>
        <v>0</v>
      </c>
      <c r="U40" s="70">
        <f t="shared" si="0"/>
        <v>0</v>
      </c>
      <c r="V40" s="345">
        <f t="shared" si="9"/>
        <v>0</v>
      </c>
      <c r="W40" s="345">
        <f t="shared" si="10"/>
        <v>0</v>
      </c>
      <c r="X40" s="85"/>
      <c r="Y40" s="85">
        <v>0.6</v>
      </c>
      <c r="Z40" s="85">
        <v>0.6</v>
      </c>
      <c r="AA40" s="86">
        <f t="shared" ref="AA40:AA71" si="11">Y40*D40</f>
        <v>0</v>
      </c>
      <c r="AB40" s="86">
        <f t="shared" ref="AB40:AB71" si="12">Z40*D40</f>
        <v>0</v>
      </c>
    </row>
    <row r="41" spans="1:28" ht="21" x14ac:dyDescent="0.25">
      <c r="A41" s="85" t="s">
        <v>250</v>
      </c>
      <c r="B41" s="85" t="s">
        <v>72</v>
      </c>
      <c r="C41" s="85" t="s">
        <v>59</v>
      </c>
      <c r="D41" s="111"/>
      <c r="E41" s="111"/>
      <c r="F41" s="85">
        <v>350</v>
      </c>
      <c r="G41" s="85">
        <v>2.8</v>
      </c>
      <c r="H41" s="85">
        <v>12</v>
      </c>
      <c r="I41" s="85">
        <v>4.8</v>
      </c>
      <c r="J41" s="85">
        <v>10.6</v>
      </c>
      <c r="K41" s="85">
        <v>24</v>
      </c>
      <c r="L41" s="85">
        <v>72</v>
      </c>
      <c r="M41" s="85">
        <v>28.8</v>
      </c>
      <c r="N41" s="85">
        <v>81.400000000000006</v>
      </c>
      <c r="O41" s="85">
        <f t="shared" si="3"/>
        <v>84</v>
      </c>
      <c r="P41" s="50">
        <f t="shared" si="4"/>
        <v>0</v>
      </c>
      <c r="Q41" s="70">
        <f t="shared" si="5"/>
        <v>0</v>
      </c>
      <c r="R41" s="70">
        <f t="shared" si="6"/>
        <v>0</v>
      </c>
      <c r="S41" s="70">
        <f t="shared" si="7"/>
        <v>0</v>
      </c>
      <c r="T41" s="70">
        <f t="shared" si="8"/>
        <v>0</v>
      </c>
      <c r="U41" s="70">
        <f t="shared" si="0"/>
        <v>0</v>
      </c>
      <c r="V41" s="345">
        <f t="shared" si="9"/>
        <v>0</v>
      </c>
      <c r="W41" s="345">
        <f t="shared" si="10"/>
        <v>0</v>
      </c>
      <c r="X41" s="85"/>
      <c r="Y41" s="85">
        <v>0.6</v>
      </c>
      <c r="Z41" s="85">
        <v>0.6</v>
      </c>
      <c r="AA41" s="86">
        <f t="shared" si="11"/>
        <v>0</v>
      </c>
      <c r="AB41" s="86">
        <f t="shared" si="12"/>
        <v>0</v>
      </c>
    </row>
    <row r="42" spans="1:28" ht="21" x14ac:dyDescent="0.25">
      <c r="A42" s="85" t="s">
        <v>248</v>
      </c>
      <c r="B42" s="85" t="s">
        <v>72</v>
      </c>
      <c r="C42" s="85" t="s">
        <v>128</v>
      </c>
      <c r="D42" s="111"/>
      <c r="E42" s="111"/>
      <c r="F42" s="85">
        <v>350</v>
      </c>
      <c r="G42" s="85"/>
      <c r="H42" s="85"/>
      <c r="I42" s="85"/>
      <c r="J42" s="85"/>
      <c r="K42" s="85">
        <v>26.8</v>
      </c>
      <c r="L42" s="85">
        <v>84</v>
      </c>
      <c r="M42" s="85">
        <v>33.6</v>
      </c>
      <c r="N42" s="85">
        <v>92</v>
      </c>
      <c r="O42" s="85">
        <f t="shared" si="3"/>
        <v>84</v>
      </c>
      <c r="P42" s="50">
        <f t="shared" si="4"/>
        <v>0</v>
      </c>
      <c r="Q42" s="70">
        <f t="shared" si="5"/>
        <v>0</v>
      </c>
      <c r="R42" s="70">
        <f t="shared" si="6"/>
        <v>0</v>
      </c>
      <c r="S42" s="70">
        <f t="shared" si="7"/>
        <v>0</v>
      </c>
      <c r="T42" s="70">
        <f t="shared" si="8"/>
        <v>0</v>
      </c>
      <c r="U42" s="70">
        <f t="shared" si="0"/>
        <v>0</v>
      </c>
      <c r="V42" s="345">
        <f t="shared" si="9"/>
        <v>0</v>
      </c>
      <c r="W42" s="345">
        <f t="shared" si="10"/>
        <v>0</v>
      </c>
      <c r="X42" s="85"/>
      <c r="Y42" s="85">
        <v>0.6</v>
      </c>
      <c r="Z42" s="85">
        <v>0.6</v>
      </c>
      <c r="AA42" s="86">
        <f t="shared" si="11"/>
        <v>0</v>
      </c>
      <c r="AB42" s="86">
        <f t="shared" si="12"/>
        <v>0</v>
      </c>
    </row>
    <row r="43" spans="1:28" ht="21" x14ac:dyDescent="0.25">
      <c r="A43" s="85" t="s">
        <v>250</v>
      </c>
      <c r="B43" s="85" t="s">
        <v>72</v>
      </c>
      <c r="C43" s="85" t="s">
        <v>128</v>
      </c>
      <c r="D43" s="111"/>
      <c r="E43" s="111"/>
      <c r="F43" s="85">
        <v>350</v>
      </c>
      <c r="G43" s="85"/>
      <c r="H43" s="85"/>
      <c r="I43" s="85"/>
      <c r="J43" s="85"/>
      <c r="K43" s="85">
        <v>26.8</v>
      </c>
      <c r="L43" s="85">
        <v>84</v>
      </c>
      <c r="M43" s="85">
        <v>33.6</v>
      </c>
      <c r="N43" s="85">
        <v>92</v>
      </c>
      <c r="O43" s="85">
        <f t="shared" si="3"/>
        <v>84</v>
      </c>
      <c r="P43" s="50">
        <f t="shared" si="4"/>
        <v>0</v>
      </c>
      <c r="Q43" s="70">
        <f t="shared" si="5"/>
        <v>0</v>
      </c>
      <c r="R43" s="70">
        <f t="shared" si="6"/>
        <v>0</v>
      </c>
      <c r="S43" s="70">
        <f t="shared" si="7"/>
        <v>0</v>
      </c>
      <c r="T43" s="70">
        <f t="shared" si="8"/>
        <v>0</v>
      </c>
      <c r="U43" s="70">
        <f t="shared" si="0"/>
        <v>0</v>
      </c>
      <c r="V43" s="345">
        <f t="shared" si="9"/>
        <v>0</v>
      </c>
      <c r="W43" s="345">
        <f t="shared" si="10"/>
        <v>0</v>
      </c>
      <c r="X43" s="85"/>
      <c r="Y43" s="85">
        <v>0.6</v>
      </c>
      <c r="Z43" s="85">
        <v>0.6</v>
      </c>
      <c r="AA43" s="86">
        <f t="shared" si="11"/>
        <v>0</v>
      </c>
      <c r="AB43" s="86">
        <f t="shared" si="12"/>
        <v>0</v>
      </c>
    </row>
    <row r="44" spans="1:28" ht="21" x14ac:dyDescent="0.25">
      <c r="A44" s="85" t="s">
        <v>248</v>
      </c>
      <c r="B44" s="85" t="s">
        <v>72</v>
      </c>
      <c r="C44" s="85" t="s">
        <v>46</v>
      </c>
      <c r="D44" s="111"/>
      <c r="E44" s="111"/>
      <c r="F44" s="85">
        <v>350</v>
      </c>
      <c r="G44" s="85">
        <v>16</v>
      </c>
      <c r="H44" s="85">
        <v>43</v>
      </c>
      <c r="I44" s="85">
        <v>17.2</v>
      </c>
      <c r="J44" s="85">
        <v>49.2</v>
      </c>
      <c r="K44" s="85">
        <v>13.9</v>
      </c>
      <c r="L44" s="85">
        <v>41</v>
      </c>
      <c r="M44" s="85">
        <v>16.399999999999999</v>
      </c>
      <c r="N44" s="85">
        <v>42.8</v>
      </c>
      <c r="O44" s="85">
        <f t="shared" si="3"/>
        <v>84</v>
      </c>
      <c r="P44" s="50">
        <f t="shared" si="4"/>
        <v>0</v>
      </c>
      <c r="Q44" s="70">
        <f t="shared" si="5"/>
        <v>0</v>
      </c>
      <c r="R44" s="70">
        <f t="shared" si="6"/>
        <v>0</v>
      </c>
      <c r="S44" s="70">
        <f t="shared" si="7"/>
        <v>0</v>
      </c>
      <c r="T44" s="70">
        <f t="shared" si="8"/>
        <v>0</v>
      </c>
      <c r="U44" s="70">
        <f t="shared" si="0"/>
        <v>0</v>
      </c>
      <c r="V44" s="345">
        <f t="shared" si="9"/>
        <v>0</v>
      </c>
      <c r="W44" s="345">
        <f t="shared" si="10"/>
        <v>0</v>
      </c>
      <c r="X44" s="85"/>
      <c r="Y44" s="85">
        <v>0.6</v>
      </c>
      <c r="Z44" s="85">
        <v>0.6</v>
      </c>
      <c r="AA44" s="86">
        <f t="shared" si="11"/>
        <v>0</v>
      </c>
      <c r="AB44" s="86">
        <f t="shared" si="12"/>
        <v>0</v>
      </c>
    </row>
    <row r="45" spans="1:28" ht="21" x14ac:dyDescent="0.25">
      <c r="A45" s="85" t="s">
        <v>250</v>
      </c>
      <c r="B45" s="85" t="s">
        <v>72</v>
      </c>
      <c r="C45" s="85" t="s">
        <v>46</v>
      </c>
      <c r="D45" s="111"/>
      <c r="E45" s="111"/>
      <c r="F45" s="85">
        <v>350</v>
      </c>
      <c r="G45" s="85">
        <v>16</v>
      </c>
      <c r="H45" s="85">
        <v>43</v>
      </c>
      <c r="I45" s="85">
        <v>17.2</v>
      </c>
      <c r="J45" s="85">
        <v>49.2</v>
      </c>
      <c r="K45" s="85">
        <v>13.9</v>
      </c>
      <c r="L45" s="85">
        <v>41</v>
      </c>
      <c r="M45" s="85">
        <v>16.399999999999999</v>
      </c>
      <c r="N45" s="85">
        <v>42.8</v>
      </c>
      <c r="O45" s="85">
        <f t="shared" si="3"/>
        <v>84</v>
      </c>
      <c r="P45" s="50">
        <f t="shared" si="4"/>
        <v>0</v>
      </c>
      <c r="Q45" s="70">
        <f t="shared" si="5"/>
        <v>0</v>
      </c>
      <c r="R45" s="70">
        <f t="shared" si="6"/>
        <v>0</v>
      </c>
      <c r="S45" s="70">
        <f t="shared" si="7"/>
        <v>0</v>
      </c>
      <c r="T45" s="70">
        <f t="shared" si="8"/>
        <v>0</v>
      </c>
      <c r="U45" s="70">
        <f t="shared" si="0"/>
        <v>0</v>
      </c>
      <c r="V45" s="345">
        <f t="shared" si="9"/>
        <v>0</v>
      </c>
      <c r="W45" s="345">
        <f t="shared" si="10"/>
        <v>0</v>
      </c>
      <c r="X45" s="85"/>
      <c r="Y45" s="85">
        <v>0.6</v>
      </c>
      <c r="Z45" s="85">
        <v>0.6</v>
      </c>
      <c r="AA45" s="86">
        <f t="shared" si="11"/>
        <v>0</v>
      </c>
      <c r="AB45" s="86">
        <f t="shared" si="12"/>
        <v>0</v>
      </c>
    </row>
    <row r="46" spans="1:28" ht="21" x14ac:dyDescent="0.25">
      <c r="A46" s="85" t="s">
        <v>248</v>
      </c>
      <c r="B46" s="85" t="s">
        <v>72</v>
      </c>
      <c r="C46" s="85" t="s">
        <v>47</v>
      </c>
      <c r="D46" s="111"/>
      <c r="E46" s="111"/>
      <c r="F46" s="85">
        <v>350</v>
      </c>
      <c r="G46" s="85">
        <v>9</v>
      </c>
      <c r="H46" s="85">
        <v>41</v>
      </c>
      <c r="I46" s="85">
        <v>16.399999999999999</v>
      </c>
      <c r="J46" s="85">
        <v>27.1</v>
      </c>
      <c r="K46" s="85">
        <v>21.5</v>
      </c>
      <c r="L46" s="85">
        <v>43</v>
      </c>
      <c r="M46" s="85">
        <v>17.2</v>
      </c>
      <c r="N46" s="85">
        <v>64.900000000000006</v>
      </c>
      <c r="O46" s="85">
        <f t="shared" si="3"/>
        <v>84</v>
      </c>
      <c r="P46" s="50">
        <f t="shared" si="4"/>
        <v>0</v>
      </c>
      <c r="Q46" s="70">
        <f t="shared" si="5"/>
        <v>0</v>
      </c>
      <c r="R46" s="70">
        <f t="shared" si="6"/>
        <v>0</v>
      </c>
      <c r="S46" s="70">
        <f t="shared" si="7"/>
        <v>0</v>
      </c>
      <c r="T46" s="70">
        <f t="shared" si="8"/>
        <v>0</v>
      </c>
      <c r="U46" s="70">
        <f t="shared" si="0"/>
        <v>0</v>
      </c>
      <c r="V46" s="345">
        <f t="shared" si="9"/>
        <v>0</v>
      </c>
      <c r="W46" s="345">
        <f t="shared" si="10"/>
        <v>0</v>
      </c>
      <c r="X46" s="85"/>
      <c r="Y46" s="85">
        <v>0.6</v>
      </c>
      <c r="Z46" s="85">
        <v>0.6</v>
      </c>
      <c r="AA46" s="86">
        <f t="shared" si="11"/>
        <v>0</v>
      </c>
      <c r="AB46" s="86">
        <f t="shared" si="12"/>
        <v>0</v>
      </c>
    </row>
    <row r="47" spans="1:28" ht="21" x14ac:dyDescent="0.25">
      <c r="A47" s="85" t="s">
        <v>250</v>
      </c>
      <c r="B47" s="85" t="s">
        <v>72</v>
      </c>
      <c r="C47" s="85" t="s">
        <v>47</v>
      </c>
      <c r="D47" s="111"/>
      <c r="E47" s="111"/>
      <c r="F47" s="85">
        <v>350</v>
      </c>
      <c r="G47" s="85">
        <v>9</v>
      </c>
      <c r="H47" s="85">
        <v>41</v>
      </c>
      <c r="I47" s="85">
        <v>16.399999999999999</v>
      </c>
      <c r="J47" s="85">
        <v>27.1</v>
      </c>
      <c r="K47" s="85">
        <v>21.5</v>
      </c>
      <c r="L47" s="85">
        <v>43</v>
      </c>
      <c r="M47" s="85">
        <v>17.2</v>
      </c>
      <c r="N47" s="85">
        <v>64.900000000000006</v>
      </c>
      <c r="O47" s="85">
        <f t="shared" si="3"/>
        <v>84</v>
      </c>
      <c r="P47" s="50">
        <f t="shared" si="4"/>
        <v>0</v>
      </c>
      <c r="Q47" s="70">
        <f t="shared" si="5"/>
        <v>0</v>
      </c>
      <c r="R47" s="70">
        <f t="shared" si="6"/>
        <v>0</v>
      </c>
      <c r="S47" s="70">
        <f t="shared" si="7"/>
        <v>0</v>
      </c>
      <c r="T47" s="70">
        <f t="shared" si="8"/>
        <v>0</v>
      </c>
      <c r="U47" s="70">
        <f t="shared" si="0"/>
        <v>0</v>
      </c>
      <c r="V47" s="345">
        <f t="shared" si="9"/>
        <v>0</v>
      </c>
      <c r="W47" s="345">
        <f t="shared" si="10"/>
        <v>0</v>
      </c>
      <c r="X47" s="85"/>
      <c r="Y47" s="85">
        <v>0.6</v>
      </c>
      <c r="Z47" s="85">
        <v>0.6</v>
      </c>
      <c r="AA47" s="86">
        <f t="shared" si="11"/>
        <v>0</v>
      </c>
      <c r="AB47" s="86">
        <f t="shared" si="12"/>
        <v>0</v>
      </c>
    </row>
    <row r="48" spans="1:28" ht="21" x14ac:dyDescent="0.25">
      <c r="A48" s="85" t="s">
        <v>248</v>
      </c>
      <c r="B48" s="85" t="s">
        <v>72</v>
      </c>
      <c r="C48" s="85" t="s">
        <v>45</v>
      </c>
      <c r="D48" s="111"/>
      <c r="E48" s="111"/>
      <c r="F48" s="85">
        <v>350</v>
      </c>
      <c r="G48" s="85">
        <v>26</v>
      </c>
      <c r="H48" s="85">
        <v>84</v>
      </c>
      <c r="I48" s="85">
        <v>33.6</v>
      </c>
      <c r="J48" s="85">
        <v>92</v>
      </c>
      <c r="K48" s="85"/>
      <c r="L48" s="85"/>
      <c r="M48" s="85"/>
      <c r="N48" s="85"/>
      <c r="O48" s="85">
        <f t="shared" si="3"/>
        <v>84</v>
      </c>
      <c r="P48" s="50">
        <f t="shared" si="4"/>
        <v>0</v>
      </c>
      <c r="Q48" s="70">
        <f t="shared" si="5"/>
        <v>0</v>
      </c>
      <c r="R48" s="70">
        <f t="shared" si="6"/>
        <v>0</v>
      </c>
      <c r="S48" s="70">
        <f t="shared" si="7"/>
        <v>0</v>
      </c>
      <c r="T48" s="70">
        <f t="shared" si="8"/>
        <v>0</v>
      </c>
      <c r="U48" s="70">
        <f t="shared" si="0"/>
        <v>0</v>
      </c>
      <c r="V48" s="345">
        <f t="shared" si="9"/>
        <v>0</v>
      </c>
      <c r="W48" s="345">
        <f t="shared" si="10"/>
        <v>0</v>
      </c>
      <c r="X48" s="85"/>
      <c r="Y48" s="85">
        <v>0.6</v>
      </c>
      <c r="Z48" s="85">
        <v>0.6</v>
      </c>
      <c r="AA48" s="86">
        <f t="shared" si="11"/>
        <v>0</v>
      </c>
      <c r="AB48" s="86">
        <f t="shared" si="12"/>
        <v>0</v>
      </c>
    </row>
    <row r="49" spans="1:28" ht="21" x14ac:dyDescent="0.25">
      <c r="A49" s="85" t="s">
        <v>250</v>
      </c>
      <c r="B49" s="85" t="s">
        <v>72</v>
      </c>
      <c r="C49" s="85" t="s">
        <v>45</v>
      </c>
      <c r="D49" s="111"/>
      <c r="E49" s="111"/>
      <c r="F49" s="85">
        <v>350</v>
      </c>
      <c r="G49" s="85">
        <v>26</v>
      </c>
      <c r="H49" s="85">
        <v>84</v>
      </c>
      <c r="I49" s="85">
        <v>33.6</v>
      </c>
      <c r="J49" s="85">
        <v>92</v>
      </c>
      <c r="K49" s="85"/>
      <c r="L49" s="85"/>
      <c r="M49" s="85"/>
      <c r="N49" s="85"/>
      <c r="O49" s="85">
        <f t="shared" si="3"/>
        <v>84</v>
      </c>
      <c r="P49" s="50">
        <f t="shared" si="4"/>
        <v>0</v>
      </c>
      <c r="Q49" s="70">
        <f t="shared" si="5"/>
        <v>0</v>
      </c>
      <c r="R49" s="70">
        <f t="shared" si="6"/>
        <v>0</v>
      </c>
      <c r="S49" s="70">
        <f t="shared" si="7"/>
        <v>0</v>
      </c>
      <c r="T49" s="70">
        <f t="shared" si="8"/>
        <v>0</v>
      </c>
      <c r="U49" s="70">
        <f t="shared" si="0"/>
        <v>0</v>
      </c>
      <c r="V49" s="345">
        <f t="shared" si="9"/>
        <v>0</v>
      </c>
      <c r="W49" s="345">
        <f t="shared" si="10"/>
        <v>0</v>
      </c>
      <c r="X49" s="85"/>
      <c r="Y49" s="85">
        <v>0.6</v>
      </c>
      <c r="Z49" s="85">
        <v>0.6</v>
      </c>
      <c r="AA49" s="86">
        <f t="shared" si="11"/>
        <v>0</v>
      </c>
      <c r="AB49" s="86">
        <f t="shared" si="12"/>
        <v>0</v>
      </c>
    </row>
    <row r="50" spans="1:28" ht="21" x14ac:dyDescent="0.25">
      <c r="A50" s="85" t="s">
        <v>248</v>
      </c>
      <c r="B50" s="85" t="s">
        <v>72</v>
      </c>
      <c r="C50" s="85" t="s">
        <v>57</v>
      </c>
      <c r="D50" s="111"/>
      <c r="E50" s="111"/>
      <c r="F50" s="85">
        <v>350</v>
      </c>
      <c r="G50" s="85">
        <v>26</v>
      </c>
      <c r="H50" s="85">
        <v>84</v>
      </c>
      <c r="I50" s="85">
        <v>33.6</v>
      </c>
      <c r="J50" s="85">
        <v>92</v>
      </c>
      <c r="K50" s="85"/>
      <c r="L50" s="85"/>
      <c r="M50" s="85"/>
      <c r="N50" s="85"/>
      <c r="O50" s="85">
        <f t="shared" si="3"/>
        <v>84</v>
      </c>
      <c r="P50" s="50">
        <f t="shared" si="4"/>
        <v>0</v>
      </c>
      <c r="Q50" s="70">
        <f t="shared" si="5"/>
        <v>0</v>
      </c>
      <c r="R50" s="70">
        <f t="shared" si="6"/>
        <v>0</v>
      </c>
      <c r="S50" s="70">
        <f t="shared" si="7"/>
        <v>0</v>
      </c>
      <c r="T50" s="70">
        <f t="shared" si="8"/>
        <v>0</v>
      </c>
      <c r="U50" s="70">
        <f t="shared" si="0"/>
        <v>0</v>
      </c>
      <c r="V50" s="345">
        <f t="shared" si="9"/>
        <v>0</v>
      </c>
      <c r="W50" s="345">
        <f t="shared" si="10"/>
        <v>0</v>
      </c>
      <c r="X50" s="85"/>
      <c r="Y50" s="85">
        <v>0.6</v>
      </c>
      <c r="Z50" s="85">
        <v>0.6</v>
      </c>
      <c r="AA50" s="86">
        <f t="shared" si="11"/>
        <v>0</v>
      </c>
      <c r="AB50" s="86">
        <f t="shared" si="12"/>
        <v>0</v>
      </c>
    </row>
    <row r="51" spans="1:28" ht="21" x14ac:dyDescent="0.25">
      <c r="A51" s="85" t="s">
        <v>250</v>
      </c>
      <c r="B51" s="85" t="s">
        <v>72</v>
      </c>
      <c r="C51" s="85" t="s">
        <v>57</v>
      </c>
      <c r="D51" s="111"/>
      <c r="E51" s="111"/>
      <c r="F51" s="85">
        <v>350</v>
      </c>
      <c r="G51" s="85">
        <v>26</v>
      </c>
      <c r="H51" s="85">
        <v>84</v>
      </c>
      <c r="I51" s="85">
        <v>33.6</v>
      </c>
      <c r="J51" s="85">
        <v>92</v>
      </c>
      <c r="K51" s="85"/>
      <c r="L51" s="85"/>
      <c r="M51" s="85"/>
      <c r="N51" s="85"/>
      <c r="O51" s="85">
        <f t="shared" si="3"/>
        <v>84</v>
      </c>
      <c r="P51" s="50">
        <f t="shared" si="4"/>
        <v>0</v>
      </c>
      <c r="Q51" s="70">
        <f t="shared" si="5"/>
        <v>0</v>
      </c>
      <c r="R51" s="70">
        <f t="shared" si="6"/>
        <v>0</v>
      </c>
      <c r="S51" s="70">
        <f t="shared" si="7"/>
        <v>0</v>
      </c>
      <c r="T51" s="70">
        <f t="shared" si="8"/>
        <v>0</v>
      </c>
      <c r="U51" s="70">
        <f t="shared" si="0"/>
        <v>0</v>
      </c>
      <c r="V51" s="345">
        <f t="shared" si="9"/>
        <v>0</v>
      </c>
      <c r="W51" s="345">
        <f t="shared" si="10"/>
        <v>0</v>
      </c>
      <c r="X51" s="85"/>
      <c r="Y51" s="85">
        <v>0.6</v>
      </c>
      <c r="Z51" s="85">
        <v>0.6</v>
      </c>
      <c r="AA51" s="86">
        <f t="shared" si="11"/>
        <v>0</v>
      </c>
      <c r="AB51" s="86">
        <f t="shared" si="12"/>
        <v>0</v>
      </c>
    </row>
    <row r="52" spans="1:28" ht="21" x14ac:dyDescent="0.25">
      <c r="A52" s="85" t="s">
        <v>248</v>
      </c>
      <c r="B52" s="85" t="s">
        <v>72</v>
      </c>
      <c r="C52" s="85" t="s">
        <v>49</v>
      </c>
      <c r="D52" s="111"/>
      <c r="E52" s="111"/>
      <c r="F52" s="85">
        <v>350</v>
      </c>
      <c r="G52" s="85">
        <v>2.8</v>
      </c>
      <c r="H52" s="85">
        <v>12</v>
      </c>
      <c r="I52" s="85">
        <v>4.8</v>
      </c>
      <c r="J52" s="85">
        <v>8.6</v>
      </c>
      <c r="K52" s="85">
        <v>24</v>
      </c>
      <c r="L52" s="85">
        <v>72</v>
      </c>
      <c r="M52" s="85">
        <v>28.8</v>
      </c>
      <c r="N52" s="85">
        <v>83.4</v>
      </c>
      <c r="O52" s="85">
        <f t="shared" si="3"/>
        <v>84</v>
      </c>
      <c r="P52" s="50">
        <f t="shared" si="4"/>
        <v>0</v>
      </c>
      <c r="Q52" s="70">
        <f t="shared" si="5"/>
        <v>0</v>
      </c>
      <c r="R52" s="70">
        <f t="shared" si="6"/>
        <v>0</v>
      </c>
      <c r="S52" s="70">
        <f t="shared" si="7"/>
        <v>0</v>
      </c>
      <c r="T52" s="70">
        <f t="shared" si="8"/>
        <v>0</v>
      </c>
      <c r="U52" s="70">
        <f t="shared" si="0"/>
        <v>0</v>
      </c>
      <c r="V52" s="345">
        <f t="shared" si="9"/>
        <v>0</v>
      </c>
      <c r="W52" s="345">
        <f t="shared" si="10"/>
        <v>0</v>
      </c>
      <c r="X52" s="85"/>
      <c r="Y52" s="85">
        <v>0.6</v>
      </c>
      <c r="Z52" s="85">
        <v>0.6</v>
      </c>
      <c r="AA52" s="86">
        <f t="shared" si="11"/>
        <v>0</v>
      </c>
      <c r="AB52" s="86">
        <f t="shared" si="12"/>
        <v>0</v>
      </c>
    </row>
    <row r="53" spans="1:28" ht="21" x14ac:dyDescent="0.25">
      <c r="A53" s="85" t="s">
        <v>250</v>
      </c>
      <c r="B53" s="85" t="s">
        <v>72</v>
      </c>
      <c r="C53" s="85" t="s">
        <v>49</v>
      </c>
      <c r="D53" s="111"/>
      <c r="E53" s="111"/>
      <c r="F53" s="85">
        <v>350</v>
      </c>
      <c r="G53" s="85">
        <v>2.8</v>
      </c>
      <c r="H53" s="85">
        <v>12</v>
      </c>
      <c r="I53" s="85">
        <v>4.8</v>
      </c>
      <c r="J53" s="85">
        <v>8.6</v>
      </c>
      <c r="K53" s="85">
        <v>24</v>
      </c>
      <c r="L53" s="85">
        <v>72</v>
      </c>
      <c r="M53" s="85">
        <v>28.8</v>
      </c>
      <c r="N53" s="85">
        <v>93.4</v>
      </c>
      <c r="O53" s="85">
        <f t="shared" si="3"/>
        <v>84</v>
      </c>
      <c r="P53" s="50">
        <f t="shared" si="4"/>
        <v>0</v>
      </c>
      <c r="Q53" s="70">
        <f t="shared" si="5"/>
        <v>0</v>
      </c>
      <c r="R53" s="70">
        <f t="shared" si="6"/>
        <v>0</v>
      </c>
      <c r="S53" s="70">
        <f t="shared" si="7"/>
        <v>0</v>
      </c>
      <c r="T53" s="70">
        <f t="shared" si="8"/>
        <v>0</v>
      </c>
      <c r="U53" s="70">
        <f t="shared" si="0"/>
        <v>0</v>
      </c>
      <c r="V53" s="345">
        <f t="shared" si="9"/>
        <v>0</v>
      </c>
      <c r="W53" s="345">
        <f t="shared" si="10"/>
        <v>0</v>
      </c>
      <c r="X53" s="85"/>
      <c r="Y53" s="85">
        <v>0.6</v>
      </c>
      <c r="Z53" s="85">
        <v>0.6</v>
      </c>
      <c r="AA53" s="86">
        <f t="shared" si="11"/>
        <v>0</v>
      </c>
      <c r="AB53" s="86">
        <f t="shared" si="12"/>
        <v>0</v>
      </c>
    </row>
    <row r="54" spans="1:28" ht="21" x14ac:dyDescent="0.25">
      <c r="A54" s="85" t="s">
        <v>248</v>
      </c>
      <c r="B54" s="85" t="s">
        <v>72</v>
      </c>
      <c r="C54" s="85" t="s">
        <v>126</v>
      </c>
      <c r="D54" s="111"/>
      <c r="E54" s="111"/>
      <c r="F54" s="85">
        <v>350</v>
      </c>
      <c r="G54" s="85"/>
      <c r="H54" s="85"/>
      <c r="I54" s="85"/>
      <c r="J54" s="85"/>
      <c r="K54" s="85">
        <v>26.8</v>
      </c>
      <c r="L54" s="85">
        <v>84</v>
      </c>
      <c r="M54" s="85">
        <v>33.6</v>
      </c>
      <c r="N54" s="85">
        <v>92</v>
      </c>
      <c r="O54" s="85">
        <f t="shared" si="3"/>
        <v>84</v>
      </c>
      <c r="P54" s="50">
        <f t="shared" si="4"/>
        <v>0</v>
      </c>
      <c r="Q54" s="70">
        <f t="shared" si="5"/>
        <v>0</v>
      </c>
      <c r="R54" s="70">
        <f t="shared" si="6"/>
        <v>0</v>
      </c>
      <c r="S54" s="70">
        <f t="shared" si="7"/>
        <v>0</v>
      </c>
      <c r="T54" s="70">
        <f t="shared" si="8"/>
        <v>0</v>
      </c>
      <c r="U54" s="70">
        <f t="shared" si="0"/>
        <v>0</v>
      </c>
      <c r="V54" s="345">
        <f t="shared" si="9"/>
        <v>0</v>
      </c>
      <c r="W54" s="345">
        <f t="shared" si="10"/>
        <v>0</v>
      </c>
      <c r="X54" s="85"/>
      <c r="Y54" s="85">
        <v>0.6</v>
      </c>
      <c r="Z54" s="85">
        <v>0.6</v>
      </c>
      <c r="AA54" s="86">
        <f t="shared" si="11"/>
        <v>0</v>
      </c>
      <c r="AB54" s="86">
        <f t="shared" si="12"/>
        <v>0</v>
      </c>
    </row>
    <row r="55" spans="1:28" ht="21" x14ac:dyDescent="0.25">
      <c r="A55" s="85" t="s">
        <v>250</v>
      </c>
      <c r="B55" s="85" t="s">
        <v>72</v>
      </c>
      <c r="C55" s="85" t="s">
        <v>126</v>
      </c>
      <c r="D55" s="111"/>
      <c r="E55" s="111"/>
      <c r="F55" s="85">
        <v>350</v>
      </c>
      <c r="G55" s="85"/>
      <c r="H55" s="85"/>
      <c r="I55" s="85"/>
      <c r="J55" s="85"/>
      <c r="K55" s="85">
        <v>26.8</v>
      </c>
      <c r="L55" s="85">
        <v>84</v>
      </c>
      <c r="M55" s="85">
        <v>33.6</v>
      </c>
      <c r="N55" s="85">
        <v>102</v>
      </c>
      <c r="O55" s="85">
        <f t="shared" si="3"/>
        <v>84</v>
      </c>
      <c r="P55" s="50">
        <f t="shared" si="4"/>
        <v>0</v>
      </c>
      <c r="Q55" s="70">
        <f t="shared" si="5"/>
        <v>0</v>
      </c>
      <c r="R55" s="70">
        <f t="shared" si="6"/>
        <v>0</v>
      </c>
      <c r="S55" s="70">
        <f t="shared" si="7"/>
        <v>0</v>
      </c>
      <c r="T55" s="70">
        <f t="shared" si="8"/>
        <v>0</v>
      </c>
      <c r="U55" s="70">
        <f t="shared" si="0"/>
        <v>0</v>
      </c>
      <c r="V55" s="345">
        <f t="shared" si="9"/>
        <v>0</v>
      </c>
      <c r="W55" s="345">
        <f t="shared" si="10"/>
        <v>0</v>
      </c>
      <c r="X55" s="85"/>
      <c r="Y55" s="85">
        <v>0.6</v>
      </c>
      <c r="Z55" s="85">
        <v>0.6</v>
      </c>
      <c r="AA55" s="86">
        <f t="shared" si="11"/>
        <v>0</v>
      </c>
      <c r="AB55" s="86">
        <f t="shared" si="12"/>
        <v>0</v>
      </c>
    </row>
    <row r="56" spans="1:28" ht="21" x14ac:dyDescent="0.25">
      <c r="A56" s="85" t="s">
        <v>248</v>
      </c>
      <c r="B56" s="85" t="s">
        <v>72</v>
      </c>
      <c r="C56" s="85" t="s">
        <v>58</v>
      </c>
      <c r="D56" s="111"/>
      <c r="E56" s="111"/>
      <c r="F56" s="85">
        <v>350</v>
      </c>
      <c r="G56" s="85">
        <v>13</v>
      </c>
      <c r="H56" s="85">
        <v>43</v>
      </c>
      <c r="I56" s="85">
        <v>17.2</v>
      </c>
      <c r="J56" s="85">
        <v>29.6</v>
      </c>
      <c r="K56" s="85">
        <v>27.4</v>
      </c>
      <c r="L56" s="85">
        <v>41</v>
      </c>
      <c r="M56" s="85">
        <v>16.399999999999999</v>
      </c>
      <c r="N56" s="85">
        <v>62.4</v>
      </c>
      <c r="O56" s="85">
        <f t="shared" si="3"/>
        <v>84</v>
      </c>
      <c r="P56" s="50">
        <f t="shared" si="4"/>
        <v>0</v>
      </c>
      <c r="Q56" s="70">
        <f t="shared" si="5"/>
        <v>0</v>
      </c>
      <c r="R56" s="70">
        <f t="shared" si="6"/>
        <v>0</v>
      </c>
      <c r="S56" s="70">
        <f t="shared" si="7"/>
        <v>0</v>
      </c>
      <c r="T56" s="70">
        <f t="shared" si="8"/>
        <v>0</v>
      </c>
      <c r="U56" s="70">
        <f t="shared" si="0"/>
        <v>0</v>
      </c>
      <c r="V56" s="345">
        <f t="shared" si="9"/>
        <v>0</v>
      </c>
      <c r="W56" s="345">
        <f t="shared" si="10"/>
        <v>0</v>
      </c>
      <c r="X56" s="85"/>
      <c r="Y56" s="85">
        <v>0.6</v>
      </c>
      <c r="Z56" s="85">
        <v>0.6</v>
      </c>
      <c r="AA56" s="86">
        <f t="shared" si="11"/>
        <v>0</v>
      </c>
      <c r="AB56" s="86">
        <f t="shared" si="12"/>
        <v>0</v>
      </c>
    </row>
    <row r="57" spans="1:28" ht="21" x14ac:dyDescent="0.25">
      <c r="A57" s="85" t="s">
        <v>250</v>
      </c>
      <c r="B57" s="85" t="s">
        <v>72</v>
      </c>
      <c r="C57" s="85" t="s">
        <v>58</v>
      </c>
      <c r="D57" s="111"/>
      <c r="E57" s="111"/>
      <c r="F57" s="85">
        <v>350</v>
      </c>
      <c r="G57" s="85">
        <v>13</v>
      </c>
      <c r="H57" s="85">
        <v>43</v>
      </c>
      <c r="I57" s="85">
        <v>17.2</v>
      </c>
      <c r="J57" s="85">
        <v>29.6</v>
      </c>
      <c r="K57" s="85">
        <v>27.4</v>
      </c>
      <c r="L57" s="85">
        <v>41</v>
      </c>
      <c r="M57" s="85">
        <v>16.399999999999999</v>
      </c>
      <c r="N57" s="85">
        <v>62.4</v>
      </c>
      <c r="O57" s="85">
        <f t="shared" si="3"/>
        <v>84</v>
      </c>
      <c r="P57" s="50">
        <f t="shared" si="4"/>
        <v>0</v>
      </c>
      <c r="Q57" s="70">
        <f t="shared" si="5"/>
        <v>0</v>
      </c>
      <c r="R57" s="70">
        <f t="shared" si="6"/>
        <v>0</v>
      </c>
      <c r="S57" s="70">
        <f t="shared" si="7"/>
        <v>0</v>
      </c>
      <c r="T57" s="70">
        <f t="shared" si="8"/>
        <v>0</v>
      </c>
      <c r="U57" s="70">
        <f t="shared" si="0"/>
        <v>0</v>
      </c>
      <c r="V57" s="345">
        <f t="shared" si="9"/>
        <v>0</v>
      </c>
      <c r="W57" s="345">
        <f t="shared" si="10"/>
        <v>0</v>
      </c>
      <c r="X57" s="85"/>
      <c r="Y57" s="85">
        <v>0.6</v>
      </c>
      <c r="Z57" s="85">
        <v>0.6</v>
      </c>
      <c r="AA57" s="86">
        <f t="shared" si="11"/>
        <v>0</v>
      </c>
      <c r="AB57" s="86">
        <f t="shared" si="12"/>
        <v>0</v>
      </c>
    </row>
    <row r="58" spans="1:28" ht="21" x14ac:dyDescent="0.25">
      <c r="A58" s="85" t="s">
        <v>233</v>
      </c>
      <c r="B58" s="85" t="s">
        <v>243</v>
      </c>
      <c r="C58" s="85" t="s">
        <v>56</v>
      </c>
      <c r="D58" s="111"/>
      <c r="E58" s="111"/>
      <c r="F58" s="85">
        <v>425</v>
      </c>
      <c r="G58" s="85">
        <v>3.2</v>
      </c>
      <c r="H58" s="85">
        <v>26</v>
      </c>
      <c r="I58" s="85">
        <v>10.4</v>
      </c>
      <c r="J58" s="85">
        <v>18.2</v>
      </c>
      <c r="K58" s="85">
        <v>23.5</v>
      </c>
      <c r="L58" s="85">
        <v>94</v>
      </c>
      <c r="M58" s="85">
        <v>37.6</v>
      </c>
      <c r="N58" s="85">
        <v>108.8</v>
      </c>
      <c r="O58" s="85">
        <f t="shared" si="3"/>
        <v>120</v>
      </c>
      <c r="P58" s="50">
        <f t="shared" si="4"/>
        <v>0</v>
      </c>
      <c r="Q58" s="70">
        <f t="shared" si="5"/>
        <v>0</v>
      </c>
      <c r="R58" s="70">
        <f t="shared" si="6"/>
        <v>0</v>
      </c>
      <c r="S58" s="70">
        <f t="shared" si="7"/>
        <v>0</v>
      </c>
      <c r="T58" s="70">
        <f t="shared" si="8"/>
        <v>0</v>
      </c>
      <c r="U58" s="70">
        <f t="shared" si="0"/>
        <v>0</v>
      </c>
      <c r="V58" s="345">
        <f t="shared" si="9"/>
        <v>0</v>
      </c>
      <c r="W58" s="345">
        <f t="shared" si="10"/>
        <v>0</v>
      </c>
      <c r="X58" s="85"/>
      <c r="Y58" s="85">
        <v>0.6</v>
      </c>
      <c r="Z58" s="85">
        <v>0.6</v>
      </c>
      <c r="AA58" s="86">
        <f t="shared" si="11"/>
        <v>0</v>
      </c>
      <c r="AB58" s="86">
        <f t="shared" si="12"/>
        <v>0</v>
      </c>
    </row>
    <row r="59" spans="1:28" ht="21" x14ac:dyDescent="0.25">
      <c r="A59" s="85" t="s">
        <v>233</v>
      </c>
      <c r="B59" s="85" t="s">
        <v>243</v>
      </c>
      <c r="C59" s="85" t="s">
        <v>127</v>
      </c>
      <c r="D59" s="111"/>
      <c r="E59" s="111"/>
      <c r="F59" s="85">
        <v>425</v>
      </c>
      <c r="G59" s="85"/>
      <c r="H59" s="85"/>
      <c r="I59" s="85"/>
      <c r="J59" s="85"/>
      <c r="K59" s="85">
        <v>26.7</v>
      </c>
      <c r="L59" s="85">
        <v>120</v>
      </c>
      <c r="M59" s="85">
        <v>48</v>
      </c>
      <c r="N59" s="85">
        <v>127</v>
      </c>
      <c r="O59" s="85">
        <f t="shared" si="3"/>
        <v>120</v>
      </c>
      <c r="P59" s="50">
        <f t="shared" si="4"/>
        <v>0</v>
      </c>
      <c r="Q59" s="70">
        <f t="shared" si="5"/>
        <v>0</v>
      </c>
      <c r="R59" s="70">
        <f t="shared" si="6"/>
        <v>0</v>
      </c>
      <c r="S59" s="70">
        <f t="shared" si="7"/>
        <v>0</v>
      </c>
      <c r="T59" s="70">
        <f t="shared" si="8"/>
        <v>0</v>
      </c>
      <c r="U59" s="70">
        <f t="shared" si="0"/>
        <v>0</v>
      </c>
      <c r="V59" s="345">
        <f t="shared" si="9"/>
        <v>0</v>
      </c>
      <c r="W59" s="345">
        <f t="shared" si="10"/>
        <v>0</v>
      </c>
      <c r="X59" s="85"/>
      <c r="Y59" s="85">
        <v>0.6</v>
      </c>
      <c r="Z59" s="85">
        <v>0.6</v>
      </c>
      <c r="AA59" s="86">
        <f t="shared" si="11"/>
        <v>0</v>
      </c>
      <c r="AB59" s="86">
        <f t="shared" si="12"/>
        <v>0</v>
      </c>
    </row>
    <row r="60" spans="1:28" ht="21" x14ac:dyDescent="0.25">
      <c r="A60" s="85" t="s">
        <v>233</v>
      </c>
      <c r="B60" s="85" t="s">
        <v>243</v>
      </c>
      <c r="C60" s="85" t="s">
        <v>59</v>
      </c>
      <c r="D60" s="111"/>
      <c r="E60" s="111"/>
      <c r="F60" s="85">
        <v>425</v>
      </c>
      <c r="G60" s="85">
        <v>2.8</v>
      </c>
      <c r="H60" s="85">
        <v>17</v>
      </c>
      <c r="I60" s="85">
        <v>6.8</v>
      </c>
      <c r="J60" s="85">
        <v>14.7</v>
      </c>
      <c r="K60" s="85">
        <v>24</v>
      </c>
      <c r="L60" s="85">
        <v>103</v>
      </c>
      <c r="M60" s="85">
        <v>41.2</v>
      </c>
      <c r="N60" s="85">
        <v>112.3</v>
      </c>
      <c r="O60" s="85">
        <f t="shared" si="3"/>
        <v>120</v>
      </c>
      <c r="P60" s="50">
        <f t="shared" si="4"/>
        <v>0</v>
      </c>
      <c r="Q60" s="70">
        <f t="shared" si="5"/>
        <v>0</v>
      </c>
      <c r="R60" s="70">
        <f t="shared" si="6"/>
        <v>0</v>
      </c>
      <c r="S60" s="70">
        <f t="shared" si="7"/>
        <v>0</v>
      </c>
      <c r="T60" s="70">
        <f t="shared" si="8"/>
        <v>0</v>
      </c>
      <c r="U60" s="70">
        <f t="shared" si="0"/>
        <v>0</v>
      </c>
      <c r="V60" s="345">
        <f t="shared" si="9"/>
        <v>0</v>
      </c>
      <c r="W60" s="345">
        <f t="shared" si="10"/>
        <v>0</v>
      </c>
      <c r="X60" s="85"/>
      <c r="Y60" s="85">
        <v>0.6</v>
      </c>
      <c r="Z60" s="85">
        <v>0.6</v>
      </c>
      <c r="AA60" s="86">
        <f t="shared" si="11"/>
        <v>0</v>
      </c>
      <c r="AB60" s="86">
        <f t="shared" si="12"/>
        <v>0</v>
      </c>
    </row>
    <row r="61" spans="1:28" ht="21" x14ac:dyDescent="0.25">
      <c r="A61" s="85" t="s">
        <v>233</v>
      </c>
      <c r="B61" s="85" t="s">
        <v>243</v>
      </c>
      <c r="C61" s="85" t="s">
        <v>128</v>
      </c>
      <c r="D61" s="111"/>
      <c r="E61" s="111"/>
      <c r="F61" s="85">
        <v>425</v>
      </c>
      <c r="G61" s="85"/>
      <c r="H61" s="85"/>
      <c r="I61" s="85"/>
      <c r="J61" s="85"/>
      <c r="K61" s="85">
        <v>26.8</v>
      </c>
      <c r="L61" s="85">
        <v>120</v>
      </c>
      <c r="M61" s="85">
        <v>48</v>
      </c>
      <c r="N61" s="85">
        <v>127</v>
      </c>
      <c r="O61" s="85">
        <f t="shared" si="3"/>
        <v>120</v>
      </c>
      <c r="P61" s="50">
        <f t="shared" si="4"/>
        <v>0</v>
      </c>
      <c r="Q61" s="70">
        <f t="shared" si="5"/>
        <v>0</v>
      </c>
      <c r="R61" s="70">
        <f t="shared" si="6"/>
        <v>0</v>
      </c>
      <c r="S61" s="70">
        <f t="shared" si="7"/>
        <v>0</v>
      </c>
      <c r="T61" s="70">
        <f t="shared" si="8"/>
        <v>0</v>
      </c>
      <c r="U61" s="70">
        <f t="shared" si="0"/>
        <v>0</v>
      </c>
      <c r="V61" s="345">
        <f t="shared" si="9"/>
        <v>0</v>
      </c>
      <c r="W61" s="345">
        <f t="shared" si="10"/>
        <v>0</v>
      </c>
      <c r="X61" s="85"/>
      <c r="Y61" s="85">
        <v>0.6</v>
      </c>
      <c r="Z61" s="85">
        <v>0.6</v>
      </c>
      <c r="AA61" s="86">
        <f t="shared" si="11"/>
        <v>0</v>
      </c>
      <c r="AB61" s="86">
        <f t="shared" si="12"/>
        <v>0</v>
      </c>
    </row>
    <row r="62" spans="1:28" ht="21" x14ac:dyDescent="0.25">
      <c r="A62" s="85" t="s">
        <v>233</v>
      </c>
      <c r="B62" s="85" t="s">
        <v>243</v>
      </c>
      <c r="C62" s="85" t="s">
        <v>46</v>
      </c>
      <c r="D62" s="111"/>
      <c r="E62" s="111"/>
      <c r="F62" s="85">
        <v>425</v>
      </c>
      <c r="G62" s="85">
        <v>16</v>
      </c>
      <c r="H62" s="85">
        <v>61</v>
      </c>
      <c r="I62" s="85">
        <v>24.4</v>
      </c>
      <c r="J62" s="85">
        <v>68</v>
      </c>
      <c r="K62" s="85">
        <v>13.9</v>
      </c>
      <c r="L62" s="85">
        <v>59</v>
      </c>
      <c r="M62" s="85">
        <v>23.6</v>
      </c>
      <c r="N62" s="85">
        <v>59</v>
      </c>
      <c r="O62" s="85">
        <f t="shared" si="3"/>
        <v>120</v>
      </c>
      <c r="P62" s="50">
        <f t="shared" si="4"/>
        <v>0</v>
      </c>
      <c r="Q62" s="70">
        <f t="shared" si="5"/>
        <v>0</v>
      </c>
      <c r="R62" s="70">
        <f t="shared" si="6"/>
        <v>0</v>
      </c>
      <c r="S62" s="70">
        <f t="shared" si="7"/>
        <v>0</v>
      </c>
      <c r="T62" s="70">
        <f t="shared" si="8"/>
        <v>0</v>
      </c>
      <c r="U62" s="70">
        <f t="shared" si="0"/>
        <v>0</v>
      </c>
      <c r="V62" s="345">
        <f t="shared" si="9"/>
        <v>0</v>
      </c>
      <c r="W62" s="345">
        <f t="shared" si="10"/>
        <v>0</v>
      </c>
      <c r="X62" s="85"/>
      <c r="Y62" s="85">
        <v>0.6</v>
      </c>
      <c r="Z62" s="85">
        <v>0.6</v>
      </c>
      <c r="AA62" s="86">
        <f t="shared" si="11"/>
        <v>0</v>
      </c>
      <c r="AB62" s="86">
        <f t="shared" si="12"/>
        <v>0</v>
      </c>
    </row>
    <row r="63" spans="1:28" ht="21" x14ac:dyDescent="0.25">
      <c r="A63" s="85" t="s">
        <v>233</v>
      </c>
      <c r="B63" s="85" t="s">
        <v>243</v>
      </c>
      <c r="C63" s="85" t="s">
        <v>47</v>
      </c>
      <c r="D63" s="111"/>
      <c r="E63" s="111"/>
      <c r="F63" s="85">
        <v>425</v>
      </c>
      <c r="G63" s="85">
        <v>9</v>
      </c>
      <c r="H63" s="85">
        <v>59</v>
      </c>
      <c r="I63" s="85">
        <v>23.6</v>
      </c>
      <c r="J63" s="85">
        <v>37.5</v>
      </c>
      <c r="K63" s="85">
        <v>21.5</v>
      </c>
      <c r="L63" s="85">
        <v>61</v>
      </c>
      <c r="M63" s="85">
        <v>24.4</v>
      </c>
      <c r="N63" s="85">
        <v>89.5</v>
      </c>
      <c r="O63" s="85">
        <f t="shared" si="3"/>
        <v>120</v>
      </c>
      <c r="P63" s="50">
        <f t="shared" si="4"/>
        <v>0</v>
      </c>
      <c r="Q63" s="70">
        <f t="shared" si="5"/>
        <v>0</v>
      </c>
      <c r="R63" s="70">
        <f t="shared" si="6"/>
        <v>0</v>
      </c>
      <c r="S63" s="70">
        <f t="shared" si="7"/>
        <v>0</v>
      </c>
      <c r="T63" s="70">
        <f t="shared" si="8"/>
        <v>0</v>
      </c>
      <c r="U63" s="70">
        <f t="shared" si="0"/>
        <v>0</v>
      </c>
      <c r="V63" s="345">
        <f t="shared" si="9"/>
        <v>0</v>
      </c>
      <c r="W63" s="345">
        <f t="shared" si="10"/>
        <v>0</v>
      </c>
      <c r="X63" s="85"/>
      <c r="Y63" s="85">
        <v>0.6</v>
      </c>
      <c r="Z63" s="85">
        <v>0.6</v>
      </c>
      <c r="AA63" s="86">
        <f t="shared" si="11"/>
        <v>0</v>
      </c>
      <c r="AB63" s="86">
        <f t="shared" si="12"/>
        <v>0</v>
      </c>
    </row>
    <row r="64" spans="1:28" ht="21" x14ac:dyDescent="0.25">
      <c r="A64" s="85" t="s">
        <v>233</v>
      </c>
      <c r="B64" s="85" t="s">
        <v>243</v>
      </c>
      <c r="C64" s="85" t="s">
        <v>45</v>
      </c>
      <c r="D64" s="111"/>
      <c r="E64" s="111"/>
      <c r="F64" s="85">
        <v>425</v>
      </c>
      <c r="G64" s="85">
        <v>26</v>
      </c>
      <c r="H64" s="85">
        <v>120</v>
      </c>
      <c r="I64" s="85">
        <v>48</v>
      </c>
      <c r="J64" s="85">
        <v>127</v>
      </c>
      <c r="K64" s="85"/>
      <c r="L64" s="85"/>
      <c r="M64" s="85"/>
      <c r="N64" s="85"/>
      <c r="O64" s="85">
        <f t="shared" si="3"/>
        <v>120</v>
      </c>
      <c r="P64" s="50">
        <f t="shared" si="4"/>
        <v>0</v>
      </c>
      <c r="Q64" s="70">
        <f t="shared" si="5"/>
        <v>0</v>
      </c>
      <c r="R64" s="70">
        <f t="shared" si="6"/>
        <v>0</v>
      </c>
      <c r="S64" s="70">
        <f t="shared" si="7"/>
        <v>0</v>
      </c>
      <c r="T64" s="70">
        <f t="shared" si="8"/>
        <v>0</v>
      </c>
      <c r="U64" s="70">
        <f t="shared" si="0"/>
        <v>0</v>
      </c>
      <c r="V64" s="345">
        <f t="shared" si="9"/>
        <v>0</v>
      </c>
      <c r="W64" s="345">
        <f t="shared" si="10"/>
        <v>0</v>
      </c>
      <c r="X64" s="85"/>
      <c r="Y64" s="85">
        <v>0.6</v>
      </c>
      <c r="Z64" s="85">
        <v>0.6</v>
      </c>
      <c r="AA64" s="86">
        <f t="shared" si="11"/>
        <v>0</v>
      </c>
      <c r="AB64" s="86">
        <f t="shared" si="12"/>
        <v>0</v>
      </c>
    </row>
    <row r="65" spans="1:28" ht="21" x14ac:dyDescent="0.25">
      <c r="A65" s="85" t="s">
        <v>233</v>
      </c>
      <c r="B65" s="85" t="s">
        <v>243</v>
      </c>
      <c r="C65" s="85" t="s">
        <v>57</v>
      </c>
      <c r="D65" s="111"/>
      <c r="E65" s="111"/>
      <c r="F65" s="85">
        <v>425</v>
      </c>
      <c r="G65" s="85">
        <v>26</v>
      </c>
      <c r="H65" s="85">
        <v>120</v>
      </c>
      <c r="I65" s="85">
        <v>48</v>
      </c>
      <c r="J65" s="85">
        <v>127</v>
      </c>
      <c r="K65" s="85"/>
      <c r="L65" s="85"/>
      <c r="M65" s="85"/>
      <c r="N65" s="85"/>
      <c r="O65" s="85">
        <f t="shared" si="3"/>
        <v>120</v>
      </c>
      <c r="P65" s="50">
        <f t="shared" si="4"/>
        <v>0</v>
      </c>
      <c r="Q65" s="70">
        <f t="shared" si="5"/>
        <v>0</v>
      </c>
      <c r="R65" s="70">
        <f t="shared" si="6"/>
        <v>0</v>
      </c>
      <c r="S65" s="70">
        <f t="shared" si="7"/>
        <v>0</v>
      </c>
      <c r="T65" s="70">
        <f t="shared" si="8"/>
        <v>0</v>
      </c>
      <c r="U65" s="70">
        <f t="shared" si="0"/>
        <v>0</v>
      </c>
      <c r="V65" s="345">
        <f t="shared" si="9"/>
        <v>0</v>
      </c>
      <c r="W65" s="345">
        <f t="shared" si="10"/>
        <v>0</v>
      </c>
      <c r="X65" s="85"/>
      <c r="Y65" s="85">
        <v>0.6</v>
      </c>
      <c r="Z65" s="85">
        <v>0.6</v>
      </c>
      <c r="AA65" s="86">
        <f t="shared" si="11"/>
        <v>0</v>
      </c>
      <c r="AB65" s="86">
        <f t="shared" si="12"/>
        <v>0</v>
      </c>
    </row>
    <row r="66" spans="1:28" ht="21" x14ac:dyDescent="0.25">
      <c r="A66" s="85" t="s">
        <v>233</v>
      </c>
      <c r="B66" s="85" t="s">
        <v>243</v>
      </c>
      <c r="C66" s="85" t="s">
        <v>49</v>
      </c>
      <c r="D66" s="111"/>
      <c r="E66" s="111"/>
      <c r="F66" s="85">
        <v>425</v>
      </c>
      <c r="G66" s="85">
        <v>2.8</v>
      </c>
      <c r="H66" s="85">
        <v>17</v>
      </c>
      <c r="I66" s="85">
        <v>6.8</v>
      </c>
      <c r="J66" s="85">
        <v>11.9</v>
      </c>
      <c r="K66" s="85">
        <v>24</v>
      </c>
      <c r="L66" s="85">
        <v>103</v>
      </c>
      <c r="M66" s="85">
        <v>41.2</v>
      </c>
      <c r="N66" s="85">
        <v>115.1</v>
      </c>
      <c r="O66" s="85">
        <f t="shared" si="3"/>
        <v>120</v>
      </c>
      <c r="P66" s="50">
        <f t="shared" si="4"/>
        <v>0</v>
      </c>
      <c r="Q66" s="70">
        <f t="shared" si="5"/>
        <v>0</v>
      </c>
      <c r="R66" s="70">
        <f t="shared" si="6"/>
        <v>0</v>
      </c>
      <c r="S66" s="70">
        <f t="shared" si="7"/>
        <v>0</v>
      </c>
      <c r="T66" s="70">
        <f t="shared" si="8"/>
        <v>0</v>
      </c>
      <c r="U66" s="70">
        <f t="shared" si="0"/>
        <v>0</v>
      </c>
      <c r="V66" s="345">
        <f t="shared" si="9"/>
        <v>0</v>
      </c>
      <c r="W66" s="345">
        <f t="shared" si="10"/>
        <v>0</v>
      </c>
      <c r="X66" s="85"/>
      <c r="Y66" s="85">
        <v>0.6</v>
      </c>
      <c r="Z66" s="85">
        <v>0.6</v>
      </c>
      <c r="AA66" s="86">
        <f t="shared" si="11"/>
        <v>0</v>
      </c>
      <c r="AB66" s="86">
        <f t="shared" si="12"/>
        <v>0</v>
      </c>
    </row>
    <row r="67" spans="1:28" ht="21" x14ac:dyDescent="0.25">
      <c r="A67" s="85" t="s">
        <v>233</v>
      </c>
      <c r="B67" s="85" t="s">
        <v>243</v>
      </c>
      <c r="C67" s="85" t="s">
        <v>126</v>
      </c>
      <c r="D67" s="111"/>
      <c r="E67" s="111"/>
      <c r="F67" s="85">
        <v>425</v>
      </c>
      <c r="G67" s="85"/>
      <c r="H67" s="85"/>
      <c r="I67" s="85"/>
      <c r="J67" s="85"/>
      <c r="K67" s="85">
        <v>26.8</v>
      </c>
      <c r="L67" s="85">
        <v>120</v>
      </c>
      <c r="M67" s="85">
        <v>48</v>
      </c>
      <c r="N67" s="85">
        <v>127</v>
      </c>
      <c r="O67" s="85">
        <f t="shared" si="3"/>
        <v>120</v>
      </c>
      <c r="P67" s="50">
        <f t="shared" si="4"/>
        <v>0</v>
      </c>
      <c r="Q67" s="70">
        <f t="shared" si="5"/>
        <v>0</v>
      </c>
      <c r="R67" s="70">
        <f t="shared" si="6"/>
        <v>0</v>
      </c>
      <c r="S67" s="70">
        <f t="shared" si="7"/>
        <v>0</v>
      </c>
      <c r="T67" s="70">
        <f t="shared" si="8"/>
        <v>0</v>
      </c>
      <c r="U67" s="70">
        <f t="shared" si="0"/>
        <v>0</v>
      </c>
      <c r="V67" s="345">
        <f t="shared" si="9"/>
        <v>0</v>
      </c>
      <c r="W67" s="345">
        <f t="shared" si="10"/>
        <v>0</v>
      </c>
      <c r="X67" s="85"/>
      <c r="Y67" s="85">
        <v>0.6</v>
      </c>
      <c r="Z67" s="85">
        <v>0.6</v>
      </c>
      <c r="AA67" s="86">
        <f t="shared" si="11"/>
        <v>0</v>
      </c>
      <c r="AB67" s="86">
        <f t="shared" si="12"/>
        <v>0</v>
      </c>
    </row>
    <row r="68" spans="1:28" ht="21" x14ac:dyDescent="0.25">
      <c r="A68" s="85" t="s">
        <v>233</v>
      </c>
      <c r="B68" s="85" t="s">
        <v>243</v>
      </c>
      <c r="C68" s="85" t="s">
        <v>58</v>
      </c>
      <c r="D68" s="111"/>
      <c r="E68" s="111"/>
      <c r="F68" s="85">
        <v>425</v>
      </c>
      <c r="G68" s="85">
        <v>13</v>
      </c>
      <c r="H68" s="85">
        <v>61</v>
      </c>
      <c r="I68" s="85">
        <v>24.4</v>
      </c>
      <c r="J68" s="85">
        <v>40.9</v>
      </c>
      <c r="K68" s="85">
        <v>27.4</v>
      </c>
      <c r="L68" s="85">
        <v>59</v>
      </c>
      <c r="M68" s="85">
        <v>23.6</v>
      </c>
      <c r="N68" s="85">
        <v>86.1</v>
      </c>
      <c r="O68" s="85">
        <f t="shared" si="3"/>
        <v>120</v>
      </c>
      <c r="P68" s="50">
        <f t="shared" si="4"/>
        <v>0</v>
      </c>
      <c r="Q68" s="70">
        <f t="shared" si="5"/>
        <v>0</v>
      </c>
      <c r="R68" s="70">
        <f t="shared" si="6"/>
        <v>0</v>
      </c>
      <c r="S68" s="70">
        <f t="shared" si="7"/>
        <v>0</v>
      </c>
      <c r="T68" s="70">
        <f t="shared" si="8"/>
        <v>0</v>
      </c>
      <c r="U68" s="70">
        <f t="shared" si="0"/>
        <v>0</v>
      </c>
      <c r="V68" s="345">
        <f t="shared" si="9"/>
        <v>0</v>
      </c>
      <c r="W68" s="345">
        <f t="shared" si="10"/>
        <v>0</v>
      </c>
      <c r="X68" s="85"/>
      <c r="Y68" s="85">
        <v>0.6</v>
      </c>
      <c r="Z68" s="85">
        <v>0.6</v>
      </c>
      <c r="AA68" s="86">
        <f t="shared" si="11"/>
        <v>0</v>
      </c>
      <c r="AB68" s="86">
        <f t="shared" si="12"/>
        <v>0</v>
      </c>
    </row>
    <row r="69" spans="1:28" ht="21" x14ac:dyDescent="0.25">
      <c r="A69" s="85" t="s">
        <v>240</v>
      </c>
      <c r="B69" s="85" t="s">
        <v>243</v>
      </c>
      <c r="C69" s="85" t="s">
        <v>56</v>
      </c>
      <c r="D69" s="111"/>
      <c r="E69" s="111"/>
      <c r="F69" s="85">
        <v>450</v>
      </c>
      <c r="G69" s="85">
        <v>3.2</v>
      </c>
      <c r="H69" s="85">
        <v>26</v>
      </c>
      <c r="I69" s="85">
        <v>10.4</v>
      </c>
      <c r="J69" s="85">
        <v>18.2</v>
      </c>
      <c r="K69" s="85">
        <v>23.5</v>
      </c>
      <c r="L69" s="85">
        <v>94</v>
      </c>
      <c r="M69" s="85">
        <v>37.6</v>
      </c>
      <c r="N69" s="85">
        <v>108.8</v>
      </c>
      <c r="O69" s="85">
        <f t="shared" si="3"/>
        <v>120</v>
      </c>
      <c r="P69" s="50">
        <f t="shared" si="4"/>
        <v>0</v>
      </c>
      <c r="Q69" s="70">
        <f t="shared" si="5"/>
        <v>0</v>
      </c>
      <c r="R69" s="70">
        <f t="shared" si="6"/>
        <v>0</v>
      </c>
      <c r="S69" s="70">
        <f t="shared" si="7"/>
        <v>0</v>
      </c>
      <c r="T69" s="70">
        <f t="shared" si="8"/>
        <v>0</v>
      </c>
      <c r="U69" s="70">
        <f t="shared" si="0"/>
        <v>0</v>
      </c>
      <c r="V69" s="345">
        <f t="shared" si="9"/>
        <v>0</v>
      </c>
      <c r="W69" s="345">
        <f t="shared" si="10"/>
        <v>0</v>
      </c>
      <c r="X69" s="85"/>
      <c r="Y69" s="85">
        <v>0.6</v>
      </c>
      <c r="Z69" s="85">
        <v>0.6</v>
      </c>
      <c r="AA69" s="86">
        <f t="shared" si="11"/>
        <v>0</v>
      </c>
      <c r="AB69" s="86">
        <f t="shared" si="12"/>
        <v>0</v>
      </c>
    </row>
    <row r="70" spans="1:28" ht="21" x14ac:dyDescent="0.25">
      <c r="A70" s="85" t="s">
        <v>240</v>
      </c>
      <c r="B70" s="85" t="s">
        <v>243</v>
      </c>
      <c r="C70" s="85" t="s">
        <v>127</v>
      </c>
      <c r="D70" s="111"/>
      <c r="E70" s="111"/>
      <c r="F70" s="85">
        <v>450</v>
      </c>
      <c r="G70" s="85"/>
      <c r="H70" s="85"/>
      <c r="I70" s="85"/>
      <c r="J70" s="85"/>
      <c r="K70" s="85">
        <v>26.7</v>
      </c>
      <c r="L70" s="85">
        <v>120</v>
      </c>
      <c r="M70" s="85">
        <v>48</v>
      </c>
      <c r="N70" s="85">
        <v>127</v>
      </c>
      <c r="O70" s="85">
        <f t="shared" si="3"/>
        <v>120</v>
      </c>
      <c r="P70" s="50">
        <f t="shared" si="4"/>
        <v>0</v>
      </c>
      <c r="Q70" s="70">
        <f t="shared" si="5"/>
        <v>0</v>
      </c>
      <c r="R70" s="70">
        <f t="shared" si="6"/>
        <v>0</v>
      </c>
      <c r="S70" s="70">
        <f t="shared" si="7"/>
        <v>0</v>
      </c>
      <c r="T70" s="70">
        <f t="shared" si="8"/>
        <v>0</v>
      </c>
      <c r="U70" s="70">
        <f t="shared" si="0"/>
        <v>0</v>
      </c>
      <c r="V70" s="345">
        <f t="shared" si="9"/>
        <v>0</v>
      </c>
      <c r="W70" s="345">
        <f t="shared" si="10"/>
        <v>0</v>
      </c>
      <c r="X70" s="85"/>
      <c r="Y70" s="85">
        <v>0.6</v>
      </c>
      <c r="Z70" s="85">
        <v>0.6</v>
      </c>
      <c r="AA70" s="86">
        <f t="shared" si="11"/>
        <v>0</v>
      </c>
      <c r="AB70" s="86">
        <f t="shared" si="12"/>
        <v>0</v>
      </c>
    </row>
    <row r="71" spans="1:28" ht="21" x14ac:dyDescent="0.25">
      <c r="A71" s="85" t="s">
        <v>240</v>
      </c>
      <c r="B71" s="85" t="s">
        <v>243</v>
      </c>
      <c r="C71" s="85" t="s">
        <v>59</v>
      </c>
      <c r="D71" s="111"/>
      <c r="E71" s="111"/>
      <c r="F71" s="85">
        <v>450</v>
      </c>
      <c r="G71" s="85">
        <v>2.8</v>
      </c>
      <c r="H71" s="85">
        <v>17</v>
      </c>
      <c r="I71" s="85">
        <v>6.8</v>
      </c>
      <c r="J71" s="85">
        <v>14.7</v>
      </c>
      <c r="K71" s="85">
        <v>24</v>
      </c>
      <c r="L71" s="85">
        <v>103</v>
      </c>
      <c r="M71" s="85">
        <v>41.2</v>
      </c>
      <c r="N71" s="85">
        <v>112.3</v>
      </c>
      <c r="O71" s="85">
        <f t="shared" si="3"/>
        <v>120</v>
      </c>
      <c r="P71" s="50">
        <f t="shared" si="4"/>
        <v>0</v>
      </c>
      <c r="Q71" s="70">
        <f t="shared" si="5"/>
        <v>0</v>
      </c>
      <c r="R71" s="70">
        <f t="shared" si="6"/>
        <v>0</v>
      </c>
      <c r="S71" s="70">
        <f t="shared" si="7"/>
        <v>0</v>
      </c>
      <c r="T71" s="70">
        <f t="shared" si="8"/>
        <v>0</v>
      </c>
      <c r="U71" s="70">
        <f t="shared" si="0"/>
        <v>0</v>
      </c>
      <c r="V71" s="345">
        <f t="shared" si="9"/>
        <v>0</v>
      </c>
      <c r="W71" s="345">
        <f t="shared" si="10"/>
        <v>0</v>
      </c>
      <c r="X71" s="85"/>
      <c r="Y71" s="85">
        <v>0.6</v>
      </c>
      <c r="Z71" s="85">
        <v>0.6</v>
      </c>
      <c r="AA71" s="86">
        <f t="shared" si="11"/>
        <v>0</v>
      </c>
      <c r="AB71" s="86">
        <f t="shared" si="12"/>
        <v>0</v>
      </c>
    </row>
    <row r="72" spans="1:28" ht="21" x14ac:dyDescent="0.25">
      <c r="A72" s="85" t="s">
        <v>240</v>
      </c>
      <c r="B72" s="85" t="s">
        <v>243</v>
      </c>
      <c r="C72" s="85" t="s">
        <v>128</v>
      </c>
      <c r="D72" s="111"/>
      <c r="E72" s="111"/>
      <c r="F72" s="85">
        <v>450</v>
      </c>
      <c r="G72" s="85"/>
      <c r="H72" s="85"/>
      <c r="I72" s="85"/>
      <c r="J72" s="85"/>
      <c r="K72" s="85">
        <v>26.8</v>
      </c>
      <c r="L72" s="85">
        <v>120</v>
      </c>
      <c r="M72" s="85">
        <v>48</v>
      </c>
      <c r="N72" s="85">
        <v>127</v>
      </c>
      <c r="O72" s="85">
        <f t="shared" si="3"/>
        <v>120</v>
      </c>
      <c r="P72" s="50">
        <f t="shared" si="4"/>
        <v>0</v>
      </c>
      <c r="Q72" s="70">
        <f t="shared" si="5"/>
        <v>0</v>
      </c>
      <c r="R72" s="70">
        <f t="shared" si="6"/>
        <v>0</v>
      </c>
      <c r="S72" s="70">
        <f t="shared" si="7"/>
        <v>0</v>
      </c>
      <c r="T72" s="70">
        <f t="shared" si="8"/>
        <v>0</v>
      </c>
      <c r="U72" s="70">
        <f t="shared" ref="U72:U135" si="13">D72*F72/1000</f>
        <v>0</v>
      </c>
      <c r="V72" s="345">
        <f t="shared" si="9"/>
        <v>0</v>
      </c>
      <c r="W72" s="345">
        <f t="shared" si="10"/>
        <v>0</v>
      </c>
      <c r="X72" s="85"/>
      <c r="Y72" s="85">
        <v>0.6</v>
      </c>
      <c r="Z72" s="85">
        <v>0.6</v>
      </c>
      <c r="AA72" s="86">
        <f t="shared" ref="AA72:AA103" si="14">Y72*D72</f>
        <v>0</v>
      </c>
      <c r="AB72" s="86">
        <f t="shared" ref="AB72:AB103" si="15">Z72*D72</f>
        <v>0</v>
      </c>
    </row>
    <row r="73" spans="1:28" ht="21" x14ac:dyDescent="0.25">
      <c r="A73" s="85" t="s">
        <v>240</v>
      </c>
      <c r="B73" s="85" t="s">
        <v>243</v>
      </c>
      <c r="C73" s="85" t="s">
        <v>46</v>
      </c>
      <c r="D73" s="111"/>
      <c r="E73" s="111"/>
      <c r="F73" s="85">
        <v>450</v>
      </c>
      <c r="G73" s="85">
        <v>16</v>
      </c>
      <c r="H73" s="85">
        <v>61</v>
      </c>
      <c r="I73" s="85">
        <v>24.4</v>
      </c>
      <c r="J73" s="85">
        <v>68</v>
      </c>
      <c r="K73" s="85">
        <v>13.9</v>
      </c>
      <c r="L73" s="85">
        <v>59</v>
      </c>
      <c r="M73" s="85">
        <v>23.6</v>
      </c>
      <c r="N73" s="85">
        <v>59</v>
      </c>
      <c r="O73" s="85">
        <f t="shared" ref="O73:O135" si="16">L73+H73</f>
        <v>120</v>
      </c>
      <c r="P73" s="50">
        <f t="shared" ref="P73:P135" si="17">IF(E73="SI", D73*F73/1000*K73, 0)</f>
        <v>0</v>
      </c>
      <c r="Q73" s="70">
        <f t="shared" ref="Q73:Q135" si="18">(D73*F73/1000*G73)+P73</f>
        <v>0</v>
      </c>
      <c r="R73" s="70">
        <f t="shared" ref="R73:R135" si="19">(D73*F73/1000*K73)-P73</f>
        <v>0</v>
      </c>
      <c r="S73" s="70">
        <f t="shared" ref="S73:S135" si="20">IF(P73=0,H73*D73*F73/1000,((H73*D73*F73/1000)+(L73*D73*F73/1000)))</f>
        <v>0</v>
      </c>
      <c r="T73" s="70">
        <f t="shared" ref="T73:T135" si="21">IF(P73=0, L73*D73*F73/1000, 0)</f>
        <v>0</v>
      </c>
      <c r="U73" s="70">
        <f t="shared" si="13"/>
        <v>0</v>
      </c>
      <c r="V73" s="345">
        <f t="shared" ref="V73:V135" si="22">D73*F73*I73/1000+D73*F73/1000*M73</f>
        <v>0</v>
      </c>
      <c r="W73" s="345">
        <f t="shared" ref="W73:W135" si="23">D73*F73*J73/1000+D73*F73/1000*N73</f>
        <v>0</v>
      </c>
      <c r="X73" s="85"/>
      <c r="Y73" s="85">
        <v>0.6</v>
      </c>
      <c r="Z73" s="85">
        <v>0.6</v>
      </c>
      <c r="AA73" s="86">
        <f t="shared" si="14"/>
        <v>0</v>
      </c>
      <c r="AB73" s="86">
        <f t="shared" si="15"/>
        <v>0</v>
      </c>
    </row>
    <row r="74" spans="1:28" ht="21" x14ac:dyDescent="0.25">
      <c r="A74" s="85" t="s">
        <v>240</v>
      </c>
      <c r="B74" s="85" t="s">
        <v>243</v>
      </c>
      <c r="C74" s="85" t="s">
        <v>47</v>
      </c>
      <c r="D74" s="111"/>
      <c r="E74" s="111"/>
      <c r="F74" s="85">
        <v>450</v>
      </c>
      <c r="G74" s="85">
        <v>9</v>
      </c>
      <c r="H74" s="85">
        <v>59</v>
      </c>
      <c r="I74" s="85">
        <v>23.6</v>
      </c>
      <c r="J74" s="85">
        <v>37.5</v>
      </c>
      <c r="K74" s="85">
        <v>21.5</v>
      </c>
      <c r="L74" s="85">
        <v>61</v>
      </c>
      <c r="M74" s="85">
        <v>24.4</v>
      </c>
      <c r="N74" s="85">
        <v>89.5</v>
      </c>
      <c r="O74" s="85">
        <f t="shared" si="16"/>
        <v>120</v>
      </c>
      <c r="P74" s="50">
        <f t="shared" si="17"/>
        <v>0</v>
      </c>
      <c r="Q74" s="70">
        <f t="shared" si="18"/>
        <v>0</v>
      </c>
      <c r="R74" s="70">
        <f t="shared" si="19"/>
        <v>0</v>
      </c>
      <c r="S74" s="70">
        <f t="shared" si="20"/>
        <v>0</v>
      </c>
      <c r="T74" s="70">
        <f t="shared" si="21"/>
        <v>0</v>
      </c>
      <c r="U74" s="70">
        <f t="shared" si="13"/>
        <v>0</v>
      </c>
      <c r="V74" s="345">
        <f t="shared" si="22"/>
        <v>0</v>
      </c>
      <c r="W74" s="345">
        <f t="shared" si="23"/>
        <v>0</v>
      </c>
      <c r="X74" s="85"/>
      <c r="Y74" s="85">
        <v>0.6</v>
      </c>
      <c r="Z74" s="85">
        <v>0.6</v>
      </c>
      <c r="AA74" s="86">
        <f t="shared" si="14"/>
        <v>0</v>
      </c>
      <c r="AB74" s="86">
        <f t="shared" si="15"/>
        <v>0</v>
      </c>
    </row>
    <row r="75" spans="1:28" ht="21" x14ac:dyDescent="0.25">
      <c r="A75" s="85" t="s">
        <v>240</v>
      </c>
      <c r="B75" s="85" t="s">
        <v>243</v>
      </c>
      <c r="C75" s="85" t="s">
        <v>45</v>
      </c>
      <c r="D75" s="111"/>
      <c r="E75" s="111"/>
      <c r="F75" s="85">
        <v>450</v>
      </c>
      <c r="G75" s="85">
        <v>26</v>
      </c>
      <c r="H75" s="85">
        <v>120</v>
      </c>
      <c r="I75" s="85">
        <v>48</v>
      </c>
      <c r="J75" s="85">
        <v>127</v>
      </c>
      <c r="K75" s="85"/>
      <c r="L75" s="85"/>
      <c r="M75" s="85"/>
      <c r="N75" s="85"/>
      <c r="O75" s="85">
        <f t="shared" si="16"/>
        <v>120</v>
      </c>
      <c r="P75" s="50">
        <f t="shared" si="17"/>
        <v>0</v>
      </c>
      <c r="Q75" s="70">
        <f t="shared" si="18"/>
        <v>0</v>
      </c>
      <c r="R75" s="70">
        <f t="shared" si="19"/>
        <v>0</v>
      </c>
      <c r="S75" s="70">
        <f t="shared" si="20"/>
        <v>0</v>
      </c>
      <c r="T75" s="70">
        <f t="shared" si="21"/>
        <v>0</v>
      </c>
      <c r="U75" s="70">
        <f t="shared" si="13"/>
        <v>0</v>
      </c>
      <c r="V75" s="345">
        <f t="shared" si="22"/>
        <v>0</v>
      </c>
      <c r="W75" s="345">
        <f t="shared" si="23"/>
        <v>0</v>
      </c>
      <c r="X75" s="85"/>
      <c r="Y75" s="85">
        <v>0.6</v>
      </c>
      <c r="Z75" s="85">
        <v>0.6</v>
      </c>
      <c r="AA75" s="86">
        <f t="shared" si="14"/>
        <v>0</v>
      </c>
      <c r="AB75" s="86">
        <f t="shared" si="15"/>
        <v>0</v>
      </c>
    </row>
    <row r="76" spans="1:28" ht="21" x14ac:dyDescent="0.25">
      <c r="A76" s="85" t="s">
        <v>240</v>
      </c>
      <c r="B76" s="85" t="s">
        <v>243</v>
      </c>
      <c r="C76" s="85" t="s">
        <v>57</v>
      </c>
      <c r="D76" s="111"/>
      <c r="E76" s="111"/>
      <c r="F76" s="85">
        <v>450</v>
      </c>
      <c r="G76" s="85">
        <v>26</v>
      </c>
      <c r="H76" s="85">
        <v>120</v>
      </c>
      <c r="I76" s="85">
        <v>48</v>
      </c>
      <c r="J76" s="85">
        <v>127</v>
      </c>
      <c r="K76" s="85"/>
      <c r="L76" s="85"/>
      <c r="M76" s="85"/>
      <c r="N76" s="85"/>
      <c r="O76" s="85">
        <f t="shared" si="16"/>
        <v>120</v>
      </c>
      <c r="P76" s="50">
        <f t="shared" si="17"/>
        <v>0</v>
      </c>
      <c r="Q76" s="70">
        <f t="shared" si="18"/>
        <v>0</v>
      </c>
      <c r="R76" s="70">
        <f t="shared" si="19"/>
        <v>0</v>
      </c>
      <c r="S76" s="70">
        <f t="shared" si="20"/>
        <v>0</v>
      </c>
      <c r="T76" s="70">
        <f t="shared" si="21"/>
        <v>0</v>
      </c>
      <c r="U76" s="70">
        <f t="shared" si="13"/>
        <v>0</v>
      </c>
      <c r="V76" s="345">
        <f t="shared" si="22"/>
        <v>0</v>
      </c>
      <c r="W76" s="345">
        <f t="shared" si="23"/>
        <v>0</v>
      </c>
      <c r="X76" s="85"/>
      <c r="Y76" s="85">
        <v>0.6</v>
      </c>
      <c r="Z76" s="85">
        <v>0.6</v>
      </c>
      <c r="AA76" s="86">
        <f t="shared" si="14"/>
        <v>0</v>
      </c>
      <c r="AB76" s="86">
        <f t="shared" si="15"/>
        <v>0</v>
      </c>
    </row>
    <row r="77" spans="1:28" ht="21" x14ac:dyDescent="0.25">
      <c r="A77" s="85" t="s">
        <v>240</v>
      </c>
      <c r="B77" s="85" t="s">
        <v>243</v>
      </c>
      <c r="C77" s="85" t="s">
        <v>49</v>
      </c>
      <c r="D77" s="111"/>
      <c r="E77" s="111"/>
      <c r="F77" s="85">
        <v>450</v>
      </c>
      <c r="G77" s="85">
        <v>2.8</v>
      </c>
      <c r="H77" s="85">
        <v>17</v>
      </c>
      <c r="I77" s="85">
        <v>6.8</v>
      </c>
      <c r="J77" s="85">
        <v>11.9</v>
      </c>
      <c r="K77" s="85">
        <v>24</v>
      </c>
      <c r="L77" s="85">
        <v>103</v>
      </c>
      <c r="M77" s="85">
        <v>41.2</v>
      </c>
      <c r="N77" s="85">
        <v>115.1</v>
      </c>
      <c r="O77" s="85">
        <f t="shared" si="16"/>
        <v>120</v>
      </c>
      <c r="P77" s="50">
        <f t="shared" si="17"/>
        <v>0</v>
      </c>
      <c r="Q77" s="70">
        <f t="shared" si="18"/>
        <v>0</v>
      </c>
      <c r="R77" s="70">
        <f t="shared" si="19"/>
        <v>0</v>
      </c>
      <c r="S77" s="70">
        <f t="shared" si="20"/>
        <v>0</v>
      </c>
      <c r="T77" s="70">
        <f t="shared" si="21"/>
        <v>0</v>
      </c>
      <c r="U77" s="70">
        <f t="shared" si="13"/>
        <v>0</v>
      </c>
      <c r="V77" s="345">
        <f t="shared" si="22"/>
        <v>0</v>
      </c>
      <c r="W77" s="345">
        <f t="shared" si="23"/>
        <v>0</v>
      </c>
      <c r="X77" s="85"/>
      <c r="Y77" s="85">
        <v>0.6</v>
      </c>
      <c r="Z77" s="85">
        <v>0.6</v>
      </c>
      <c r="AA77" s="86">
        <f t="shared" si="14"/>
        <v>0</v>
      </c>
      <c r="AB77" s="86">
        <f t="shared" si="15"/>
        <v>0</v>
      </c>
    </row>
    <row r="78" spans="1:28" ht="21" x14ac:dyDescent="0.25">
      <c r="A78" s="85" t="s">
        <v>240</v>
      </c>
      <c r="B78" s="85" t="s">
        <v>243</v>
      </c>
      <c r="C78" s="85" t="s">
        <v>126</v>
      </c>
      <c r="D78" s="111"/>
      <c r="E78" s="111"/>
      <c r="F78" s="85">
        <v>450</v>
      </c>
      <c r="G78" s="85"/>
      <c r="H78" s="85"/>
      <c r="I78" s="85"/>
      <c r="J78" s="85"/>
      <c r="K78" s="85">
        <v>26.8</v>
      </c>
      <c r="L78" s="85">
        <v>120</v>
      </c>
      <c r="M78" s="85">
        <v>48</v>
      </c>
      <c r="N78" s="85">
        <v>127</v>
      </c>
      <c r="O78" s="85">
        <f t="shared" si="16"/>
        <v>120</v>
      </c>
      <c r="P78" s="50">
        <f t="shared" si="17"/>
        <v>0</v>
      </c>
      <c r="Q78" s="70">
        <f t="shared" si="18"/>
        <v>0</v>
      </c>
      <c r="R78" s="70">
        <f t="shared" si="19"/>
        <v>0</v>
      </c>
      <c r="S78" s="70">
        <f t="shared" si="20"/>
        <v>0</v>
      </c>
      <c r="T78" s="70">
        <f t="shared" si="21"/>
        <v>0</v>
      </c>
      <c r="U78" s="70">
        <f t="shared" si="13"/>
        <v>0</v>
      </c>
      <c r="V78" s="345">
        <f t="shared" si="22"/>
        <v>0</v>
      </c>
      <c r="W78" s="345">
        <f t="shared" si="23"/>
        <v>0</v>
      </c>
      <c r="X78" s="85"/>
      <c r="Y78" s="85">
        <v>0.6</v>
      </c>
      <c r="Z78" s="85">
        <v>0.6</v>
      </c>
      <c r="AA78" s="86">
        <f t="shared" si="14"/>
        <v>0</v>
      </c>
      <c r="AB78" s="86">
        <f t="shared" si="15"/>
        <v>0</v>
      </c>
    </row>
    <row r="79" spans="1:28" ht="21" x14ac:dyDescent="0.25">
      <c r="A79" s="85" t="s">
        <v>240</v>
      </c>
      <c r="B79" s="85" t="s">
        <v>243</v>
      </c>
      <c r="C79" s="85" t="s">
        <v>58</v>
      </c>
      <c r="D79" s="111"/>
      <c r="E79" s="111"/>
      <c r="F79" s="85">
        <v>450</v>
      </c>
      <c r="G79" s="85">
        <v>13</v>
      </c>
      <c r="H79" s="85">
        <v>61</v>
      </c>
      <c r="I79" s="85">
        <v>24.4</v>
      </c>
      <c r="J79" s="85">
        <v>40.9</v>
      </c>
      <c r="K79" s="85">
        <v>27.4</v>
      </c>
      <c r="L79" s="85">
        <v>59</v>
      </c>
      <c r="M79" s="85">
        <v>23.6</v>
      </c>
      <c r="N79" s="85">
        <v>86.1</v>
      </c>
      <c r="O79" s="85">
        <f t="shared" si="16"/>
        <v>120</v>
      </c>
      <c r="P79" s="50">
        <f t="shared" si="17"/>
        <v>0</v>
      </c>
      <c r="Q79" s="70">
        <f t="shared" si="18"/>
        <v>0</v>
      </c>
      <c r="R79" s="70">
        <f t="shared" si="19"/>
        <v>0</v>
      </c>
      <c r="S79" s="70">
        <f t="shared" si="20"/>
        <v>0</v>
      </c>
      <c r="T79" s="70">
        <f t="shared" si="21"/>
        <v>0</v>
      </c>
      <c r="U79" s="70">
        <f t="shared" si="13"/>
        <v>0</v>
      </c>
      <c r="V79" s="345">
        <f t="shared" si="22"/>
        <v>0</v>
      </c>
      <c r="W79" s="345">
        <f t="shared" si="23"/>
        <v>0</v>
      </c>
      <c r="X79" s="85"/>
      <c r="Y79" s="85">
        <v>0.6</v>
      </c>
      <c r="Z79" s="85">
        <v>0.6</v>
      </c>
      <c r="AA79" s="86">
        <f t="shared" si="14"/>
        <v>0</v>
      </c>
      <c r="AB79" s="86">
        <f t="shared" si="15"/>
        <v>0</v>
      </c>
    </row>
    <row r="80" spans="1:28" x14ac:dyDescent="0.25">
      <c r="A80" s="85" t="s">
        <v>242</v>
      </c>
      <c r="B80" s="85" t="s">
        <v>70</v>
      </c>
      <c r="C80" s="85" t="s">
        <v>42</v>
      </c>
      <c r="D80" s="111"/>
      <c r="E80" s="111"/>
      <c r="F80" s="85">
        <v>600</v>
      </c>
      <c r="G80" s="85">
        <v>4.3</v>
      </c>
      <c r="H80" s="85">
        <v>18.7</v>
      </c>
      <c r="I80" s="85">
        <v>7.5</v>
      </c>
      <c r="J80" s="85">
        <v>26.1</v>
      </c>
      <c r="K80" s="85">
        <v>25.7</v>
      </c>
      <c r="L80" s="85">
        <v>56.3</v>
      </c>
      <c r="M80" s="85">
        <v>22.5</v>
      </c>
      <c r="N80" s="85">
        <v>100.9</v>
      </c>
      <c r="O80" s="85">
        <f t="shared" si="16"/>
        <v>75</v>
      </c>
      <c r="P80" s="50">
        <f t="shared" si="17"/>
        <v>0</v>
      </c>
      <c r="Q80" s="70">
        <f t="shared" si="18"/>
        <v>0</v>
      </c>
      <c r="R80" s="70">
        <f t="shared" si="19"/>
        <v>0</v>
      </c>
      <c r="S80" s="70">
        <f t="shared" si="20"/>
        <v>0</v>
      </c>
      <c r="T80" s="70">
        <f t="shared" si="21"/>
        <v>0</v>
      </c>
      <c r="U80" s="70">
        <f t="shared" si="13"/>
        <v>0</v>
      </c>
      <c r="V80" s="345">
        <f t="shared" si="22"/>
        <v>0</v>
      </c>
      <c r="W80" s="345">
        <f t="shared" si="23"/>
        <v>0</v>
      </c>
      <c r="X80" s="85"/>
      <c r="Y80" s="85">
        <v>1</v>
      </c>
      <c r="Z80" s="85">
        <v>1</v>
      </c>
      <c r="AA80" s="86">
        <f t="shared" si="14"/>
        <v>0</v>
      </c>
      <c r="AB80" s="86">
        <f t="shared" si="15"/>
        <v>0</v>
      </c>
    </row>
    <row r="81" spans="1:28" ht="21" x14ac:dyDescent="0.25">
      <c r="A81" s="85" t="s">
        <v>242</v>
      </c>
      <c r="B81" s="85" t="s">
        <v>70</v>
      </c>
      <c r="C81" s="85" t="s">
        <v>124</v>
      </c>
      <c r="D81" s="111"/>
      <c r="E81" s="111"/>
      <c r="F81" s="85">
        <v>600</v>
      </c>
      <c r="G81" s="85"/>
      <c r="H81" s="85"/>
      <c r="I81" s="85"/>
      <c r="J81" s="85"/>
      <c r="K81" s="85">
        <v>30</v>
      </c>
      <c r="L81" s="85">
        <v>75</v>
      </c>
      <c r="M81" s="85">
        <v>30</v>
      </c>
      <c r="N81" s="85">
        <v>127</v>
      </c>
      <c r="O81" s="85">
        <f t="shared" si="16"/>
        <v>75</v>
      </c>
      <c r="P81" s="50">
        <f t="shared" si="17"/>
        <v>0</v>
      </c>
      <c r="Q81" s="70">
        <f t="shared" si="18"/>
        <v>0</v>
      </c>
      <c r="R81" s="70">
        <f t="shared" si="19"/>
        <v>0</v>
      </c>
      <c r="S81" s="70">
        <f t="shared" si="20"/>
        <v>0</v>
      </c>
      <c r="T81" s="70">
        <f t="shared" si="21"/>
        <v>0</v>
      </c>
      <c r="U81" s="70">
        <f t="shared" si="13"/>
        <v>0</v>
      </c>
      <c r="V81" s="345">
        <f t="shared" si="22"/>
        <v>0</v>
      </c>
      <c r="W81" s="345">
        <f t="shared" si="23"/>
        <v>0</v>
      </c>
      <c r="X81" s="85"/>
      <c r="Y81" s="85">
        <v>1</v>
      </c>
      <c r="Z81" s="85">
        <v>1</v>
      </c>
      <c r="AA81" s="86">
        <f t="shared" si="14"/>
        <v>0</v>
      </c>
      <c r="AB81" s="86">
        <f t="shared" si="15"/>
        <v>0</v>
      </c>
    </row>
    <row r="82" spans="1:28" x14ac:dyDescent="0.25">
      <c r="A82" s="85" t="s">
        <v>242</v>
      </c>
      <c r="B82" s="85" t="s">
        <v>70</v>
      </c>
      <c r="C82" s="85" t="s">
        <v>43</v>
      </c>
      <c r="D82" s="111"/>
      <c r="E82" s="111"/>
      <c r="F82" s="85">
        <v>600</v>
      </c>
      <c r="G82" s="85">
        <v>22</v>
      </c>
      <c r="H82" s="85">
        <v>75</v>
      </c>
      <c r="I82" s="85">
        <v>30</v>
      </c>
      <c r="J82" s="85">
        <v>127</v>
      </c>
      <c r="K82" s="85"/>
      <c r="L82" s="85"/>
      <c r="M82" s="85"/>
      <c r="N82" s="85"/>
      <c r="O82" s="85">
        <f t="shared" si="16"/>
        <v>75</v>
      </c>
      <c r="P82" s="50">
        <f t="shared" si="17"/>
        <v>0</v>
      </c>
      <c r="Q82" s="70">
        <f t="shared" si="18"/>
        <v>0</v>
      </c>
      <c r="R82" s="70">
        <f t="shared" si="19"/>
        <v>0</v>
      </c>
      <c r="S82" s="70">
        <f t="shared" si="20"/>
        <v>0</v>
      </c>
      <c r="T82" s="70">
        <f t="shared" si="21"/>
        <v>0</v>
      </c>
      <c r="U82" s="70">
        <f t="shared" si="13"/>
        <v>0</v>
      </c>
      <c r="V82" s="345">
        <f t="shared" si="22"/>
        <v>0</v>
      </c>
      <c r="W82" s="345">
        <f t="shared" si="23"/>
        <v>0</v>
      </c>
      <c r="X82" s="85"/>
      <c r="Y82" s="85">
        <v>1</v>
      </c>
      <c r="Z82" s="85">
        <v>1</v>
      </c>
      <c r="AA82" s="86">
        <f t="shared" si="14"/>
        <v>0</v>
      </c>
      <c r="AB82" s="86">
        <f t="shared" si="15"/>
        <v>0</v>
      </c>
    </row>
    <row r="83" spans="1:28" ht="21" x14ac:dyDescent="0.25">
      <c r="A83" s="85" t="s">
        <v>242</v>
      </c>
      <c r="B83" s="85" t="s">
        <v>70</v>
      </c>
      <c r="C83" s="85" t="s">
        <v>46</v>
      </c>
      <c r="D83" s="111"/>
      <c r="E83" s="111"/>
      <c r="F83" s="85">
        <v>600</v>
      </c>
      <c r="G83" s="85">
        <v>13.7</v>
      </c>
      <c r="H83" s="85">
        <v>44.2</v>
      </c>
      <c r="I83" s="85">
        <v>17.7</v>
      </c>
      <c r="J83" s="85">
        <v>65.099999999999994</v>
      </c>
      <c r="K83" s="85">
        <v>12</v>
      </c>
      <c r="L83" s="85">
        <v>30.8</v>
      </c>
      <c r="M83" s="85">
        <v>12.3</v>
      </c>
      <c r="N83" s="85">
        <v>61.9</v>
      </c>
      <c r="O83" s="85">
        <f t="shared" si="16"/>
        <v>75</v>
      </c>
      <c r="P83" s="50">
        <f t="shared" si="17"/>
        <v>0</v>
      </c>
      <c r="Q83" s="70">
        <f t="shared" si="18"/>
        <v>0</v>
      </c>
      <c r="R83" s="70">
        <f t="shared" si="19"/>
        <v>0</v>
      </c>
      <c r="S83" s="70">
        <f t="shared" si="20"/>
        <v>0</v>
      </c>
      <c r="T83" s="70">
        <f t="shared" si="21"/>
        <v>0</v>
      </c>
      <c r="U83" s="70">
        <f t="shared" si="13"/>
        <v>0</v>
      </c>
      <c r="V83" s="345">
        <f t="shared" si="22"/>
        <v>0</v>
      </c>
      <c r="W83" s="345">
        <f t="shared" si="23"/>
        <v>0</v>
      </c>
      <c r="X83" s="85"/>
      <c r="Y83" s="85">
        <v>1</v>
      </c>
      <c r="Z83" s="85">
        <v>1</v>
      </c>
      <c r="AA83" s="86">
        <f t="shared" si="14"/>
        <v>0</v>
      </c>
      <c r="AB83" s="86">
        <f t="shared" si="15"/>
        <v>0</v>
      </c>
    </row>
    <row r="84" spans="1:28" ht="21" x14ac:dyDescent="0.25">
      <c r="A84" s="85" t="s">
        <v>242</v>
      </c>
      <c r="B84" s="85" t="s">
        <v>70</v>
      </c>
      <c r="C84" s="85" t="s">
        <v>47</v>
      </c>
      <c r="D84" s="111"/>
      <c r="E84" s="111"/>
      <c r="F84" s="85">
        <v>600</v>
      </c>
      <c r="G84" s="85">
        <v>7.7</v>
      </c>
      <c r="H84" s="85">
        <v>24.7</v>
      </c>
      <c r="I84" s="85">
        <v>9.9</v>
      </c>
      <c r="J84" s="85">
        <v>42</v>
      </c>
      <c r="K84" s="85">
        <v>18.7</v>
      </c>
      <c r="L84" s="85">
        <v>50.3</v>
      </c>
      <c r="M84" s="85">
        <v>20.100000000000001</v>
      </c>
      <c r="N84" s="85">
        <v>85</v>
      </c>
      <c r="O84" s="85">
        <f t="shared" si="16"/>
        <v>75</v>
      </c>
      <c r="P84" s="50">
        <f t="shared" si="17"/>
        <v>0</v>
      </c>
      <c r="Q84" s="70">
        <f t="shared" si="18"/>
        <v>0</v>
      </c>
      <c r="R84" s="70">
        <f t="shared" si="19"/>
        <v>0</v>
      </c>
      <c r="S84" s="70">
        <f t="shared" si="20"/>
        <v>0</v>
      </c>
      <c r="T84" s="70">
        <f t="shared" si="21"/>
        <v>0</v>
      </c>
      <c r="U84" s="70">
        <f t="shared" si="13"/>
        <v>0</v>
      </c>
      <c r="V84" s="345">
        <f t="shared" si="22"/>
        <v>0</v>
      </c>
      <c r="W84" s="345">
        <f t="shared" si="23"/>
        <v>0</v>
      </c>
      <c r="X84" s="85"/>
      <c r="Y84" s="85">
        <v>1</v>
      </c>
      <c r="Z84" s="85">
        <v>1</v>
      </c>
      <c r="AA84" s="86">
        <f t="shared" si="14"/>
        <v>0</v>
      </c>
      <c r="AB84" s="86">
        <f t="shared" si="15"/>
        <v>0</v>
      </c>
    </row>
    <row r="85" spans="1:28" ht="31.5" x14ac:dyDescent="0.25">
      <c r="A85" s="85" t="s">
        <v>242</v>
      </c>
      <c r="B85" s="85" t="s">
        <v>70</v>
      </c>
      <c r="C85" s="85" t="s">
        <v>48</v>
      </c>
      <c r="D85" s="111"/>
      <c r="E85" s="111"/>
      <c r="F85" s="85">
        <v>600</v>
      </c>
      <c r="G85" s="85">
        <v>3.3</v>
      </c>
      <c r="H85" s="85">
        <v>10.8</v>
      </c>
      <c r="I85" s="85">
        <v>4.3</v>
      </c>
      <c r="J85" s="85">
        <v>28.9</v>
      </c>
      <c r="K85" s="85">
        <v>26.3</v>
      </c>
      <c r="L85" s="85">
        <v>64.2</v>
      </c>
      <c r="M85" s="85">
        <v>25.7</v>
      </c>
      <c r="N85" s="85">
        <v>98.1</v>
      </c>
      <c r="O85" s="85">
        <f t="shared" si="16"/>
        <v>75</v>
      </c>
      <c r="P85" s="50">
        <f t="shared" si="17"/>
        <v>0</v>
      </c>
      <c r="Q85" s="70">
        <f t="shared" si="18"/>
        <v>0</v>
      </c>
      <c r="R85" s="70">
        <f t="shared" si="19"/>
        <v>0</v>
      </c>
      <c r="S85" s="70">
        <f t="shared" si="20"/>
        <v>0</v>
      </c>
      <c r="T85" s="70">
        <f t="shared" si="21"/>
        <v>0</v>
      </c>
      <c r="U85" s="70">
        <f t="shared" si="13"/>
        <v>0</v>
      </c>
      <c r="V85" s="345">
        <f t="shared" si="22"/>
        <v>0</v>
      </c>
      <c r="W85" s="345">
        <f t="shared" si="23"/>
        <v>0</v>
      </c>
      <c r="X85" s="85"/>
      <c r="Y85" s="85">
        <v>1</v>
      </c>
      <c r="Z85" s="85">
        <v>1</v>
      </c>
      <c r="AA85" s="86">
        <f t="shared" si="14"/>
        <v>0</v>
      </c>
      <c r="AB85" s="86">
        <f t="shared" si="15"/>
        <v>0</v>
      </c>
    </row>
    <row r="86" spans="1:28" ht="31.5" x14ac:dyDescent="0.25">
      <c r="A86" s="85" t="s">
        <v>242</v>
      </c>
      <c r="B86" s="85" t="s">
        <v>70</v>
      </c>
      <c r="C86" s="85" t="s">
        <v>130</v>
      </c>
      <c r="D86" s="111"/>
      <c r="E86" s="111"/>
      <c r="F86" s="85">
        <v>600</v>
      </c>
      <c r="G86" s="85"/>
      <c r="H86" s="85"/>
      <c r="I86" s="85"/>
      <c r="J86" s="85"/>
      <c r="K86" s="85">
        <v>29.6</v>
      </c>
      <c r="L86" s="85">
        <v>75</v>
      </c>
      <c r="M86" s="85">
        <v>30</v>
      </c>
      <c r="N86" s="85">
        <v>127</v>
      </c>
      <c r="O86" s="85">
        <f t="shared" si="16"/>
        <v>75</v>
      </c>
      <c r="P86" s="50">
        <f t="shared" si="17"/>
        <v>0</v>
      </c>
      <c r="Q86" s="70">
        <f t="shared" si="18"/>
        <v>0</v>
      </c>
      <c r="R86" s="70">
        <f t="shared" si="19"/>
        <v>0</v>
      </c>
      <c r="S86" s="70">
        <f t="shared" si="20"/>
        <v>0</v>
      </c>
      <c r="T86" s="70">
        <f t="shared" si="21"/>
        <v>0</v>
      </c>
      <c r="U86" s="70">
        <f t="shared" si="13"/>
        <v>0</v>
      </c>
      <c r="V86" s="345">
        <f t="shared" si="22"/>
        <v>0</v>
      </c>
      <c r="W86" s="345">
        <f t="shared" si="23"/>
        <v>0</v>
      </c>
      <c r="X86" s="85"/>
      <c r="Y86" s="85">
        <v>1</v>
      </c>
      <c r="Z86" s="85">
        <v>1</v>
      </c>
      <c r="AA86" s="86">
        <f t="shared" si="14"/>
        <v>0</v>
      </c>
      <c r="AB86" s="86">
        <f t="shared" si="15"/>
        <v>0</v>
      </c>
    </row>
    <row r="87" spans="1:28" ht="21" x14ac:dyDescent="0.25">
      <c r="A87" s="85" t="s">
        <v>242</v>
      </c>
      <c r="B87" s="85" t="s">
        <v>70</v>
      </c>
      <c r="C87" s="85" t="s">
        <v>45</v>
      </c>
      <c r="D87" s="111"/>
      <c r="E87" s="111"/>
      <c r="F87" s="85">
        <v>600</v>
      </c>
      <c r="G87" s="85">
        <v>22.3</v>
      </c>
      <c r="H87" s="85">
        <v>75</v>
      </c>
      <c r="I87" s="85">
        <v>30</v>
      </c>
      <c r="J87" s="85">
        <v>127</v>
      </c>
      <c r="K87" s="85"/>
      <c r="L87" s="85"/>
      <c r="M87" s="85"/>
      <c r="N87" s="85"/>
      <c r="O87" s="85">
        <f t="shared" si="16"/>
        <v>75</v>
      </c>
      <c r="P87" s="50">
        <f t="shared" si="17"/>
        <v>0</v>
      </c>
      <c r="Q87" s="70">
        <f t="shared" si="18"/>
        <v>0</v>
      </c>
      <c r="R87" s="70">
        <f t="shared" si="19"/>
        <v>0</v>
      </c>
      <c r="S87" s="70">
        <f t="shared" si="20"/>
        <v>0</v>
      </c>
      <c r="T87" s="70">
        <f t="shared" si="21"/>
        <v>0</v>
      </c>
      <c r="U87" s="70">
        <f t="shared" si="13"/>
        <v>0</v>
      </c>
      <c r="V87" s="345">
        <f t="shared" si="22"/>
        <v>0</v>
      </c>
      <c r="W87" s="345">
        <f t="shared" si="23"/>
        <v>0</v>
      </c>
      <c r="X87" s="85"/>
      <c r="Y87" s="85">
        <v>1</v>
      </c>
      <c r="Z87" s="85">
        <v>1</v>
      </c>
      <c r="AA87" s="86">
        <f t="shared" si="14"/>
        <v>0</v>
      </c>
      <c r="AB87" s="86">
        <f t="shared" si="15"/>
        <v>0</v>
      </c>
    </row>
    <row r="88" spans="1:28" ht="21" x14ac:dyDescent="0.25">
      <c r="A88" s="85" t="s">
        <v>242</v>
      </c>
      <c r="B88" s="85" t="s">
        <v>70</v>
      </c>
      <c r="C88" s="85" t="s">
        <v>49</v>
      </c>
      <c r="D88" s="111"/>
      <c r="E88" s="111"/>
      <c r="F88" s="85">
        <v>600</v>
      </c>
      <c r="G88" s="85">
        <v>3.3</v>
      </c>
      <c r="H88" s="85">
        <v>10.8</v>
      </c>
      <c r="I88" s="85">
        <v>4.3</v>
      </c>
      <c r="J88" s="85">
        <v>24.8</v>
      </c>
      <c r="K88" s="85">
        <v>33</v>
      </c>
      <c r="L88" s="85">
        <v>64.2</v>
      </c>
      <c r="M88" s="85">
        <v>25.7</v>
      </c>
      <c r="N88" s="85">
        <v>102.2</v>
      </c>
      <c r="O88" s="85">
        <f t="shared" si="16"/>
        <v>75</v>
      </c>
      <c r="P88" s="50">
        <f t="shared" si="17"/>
        <v>0</v>
      </c>
      <c r="Q88" s="70">
        <f t="shared" si="18"/>
        <v>0</v>
      </c>
      <c r="R88" s="70">
        <f t="shared" si="19"/>
        <v>0</v>
      </c>
      <c r="S88" s="70">
        <f t="shared" si="20"/>
        <v>0</v>
      </c>
      <c r="T88" s="70">
        <f t="shared" si="21"/>
        <v>0</v>
      </c>
      <c r="U88" s="70">
        <f t="shared" si="13"/>
        <v>0</v>
      </c>
      <c r="V88" s="345">
        <f t="shared" si="22"/>
        <v>0</v>
      </c>
      <c r="W88" s="345">
        <f t="shared" si="23"/>
        <v>0</v>
      </c>
      <c r="X88" s="85"/>
      <c r="Y88" s="85">
        <v>1</v>
      </c>
      <c r="Z88" s="85">
        <v>1</v>
      </c>
      <c r="AA88" s="86">
        <f t="shared" si="14"/>
        <v>0</v>
      </c>
      <c r="AB88" s="86">
        <f t="shared" si="15"/>
        <v>0</v>
      </c>
    </row>
    <row r="89" spans="1:28" ht="21" x14ac:dyDescent="0.25">
      <c r="A89" s="85" t="s">
        <v>242</v>
      </c>
      <c r="B89" s="85" t="s">
        <v>70</v>
      </c>
      <c r="C89" s="85" t="s">
        <v>126</v>
      </c>
      <c r="D89" s="111"/>
      <c r="E89" s="111"/>
      <c r="F89" s="85">
        <v>600</v>
      </c>
      <c r="G89" s="85"/>
      <c r="H89" s="85"/>
      <c r="I89" s="85"/>
      <c r="J89" s="85"/>
      <c r="K89" s="85">
        <v>36.299999999999997</v>
      </c>
      <c r="L89" s="85">
        <v>75</v>
      </c>
      <c r="M89" s="85">
        <v>30</v>
      </c>
      <c r="N89" s="85">
        <v>127</v>
      </c>
      <c r="O89" s="85">
        <f t="shared" si="16"/>
        <v>75</v>
      </c>
      <c r="P89" s="50">
        <f t="shared" si="17"/>
        <v>0</v>
      </c>
      <c r="Q89" s="70">
        <f t="shared" si="18"/>
        <v>0</v>
      </c>
      <c r="R89" s="70">
        <f t="shared" si="19"/>
        <v>0</v>
      </c>
      <c r="S89" s="70">
        <f t="shared" si="20"/>
        <v>0</v>
      </c>
      <c r="T89" s="70">
        <f t="shared" si="21"/>
        <v>0</v>
      </c>
      <c r="U89" s="70">
        <f t="shared" si="13"/>
        <v>0</v>
      </c>
      <c r="V89" s="345">
        <f t="shared" si="22"/>
        <v>0</v>
      </c>
      <c r="W89" s="345">
        <f t="shared" si="23"/>
        <v>0</v>
      </c>
      <c r="X89" s="85"/>
      <c r="Y89" s="85">
        <v>1</v>
      </c>
      <c r="Z89" s="85">
        <v>1</v>
      </c>
      <c r="AA89" s="86">
        <f t="shared" si="14"/>
        <v>0</v>
      </c>
      <c r="AB89" s="86">
        <f t="shared" si="15"/>
        <v>0</v>
      </c>
    </row>
    <row r="90" spans="1:28" ht="21" x14ac:dyDescent="0.25">
      <c r="A90" s="85" t="s">
        <v>242</v>
      </c>
      <c r="B90" s="85" t="s">
        <v>70</v>
      </c>
      <c r="C90" s="85" t="s">
        <v>44</v>
      </c>
      <c r="D90" s="111"/>
      <c r="E90" s="111"/>
      <c r="F90" s="85">
        <v>600</v>
      </c>
      <c r="G90" s="85">
        <v>11.3</v>
      </c>
      <c r="H90" s="85">
        <v>38.5</v>
      </c>
      <c r="I90" s="85">
        <v>15.4</v>
      </c>
      <c r="J90" s="85">
        <v>31.1</v>
      </c>
      <c r="K90" s="85">
        <v>23.7</v>
      </c>
      <c r="L90" s="85">
        <v>36.5</v>
      </c>
      <c r="M90" s="85">
        <v>14.6</v>
      </c>
      <c r="N90" s="85">
        <v>95.9</v>
      </c>
      <c r="O90" s="85">
        <f t="shared" si="16"/>
        <v>75</v>
      </c>
      <c r="P90" s="50">
        <f t="shared" si="17"/>
        <v>0</v>
      </c>
      <c r="Q90" s="70">
        <f t="shared" si="18"/>
        <v>0</v>
      </c>
      <c r="R90" s="70">
        <f t="shared" si="19"/>
        <v>0</v>
      </c>
      <c r="S90" s="70">
        <f t="shared" si="20"/>
        <v>0</v>
      </c>
      <c r="T90" s="70">
        <f t="shared" si="21"/>
        <v>0</v>
      </c>
      <c r="U90" s="70">
        <f t="shared" si="13"/>
        <v>0</v>
      </c>
      <c r="V90" s="345">
        <f t="shared" si="22"/>
        <v>0</v>
      </c>
      <c r="W90" s="345">
        <f t="shared" si="23"/>
        <v>0</v>
      </c>
      <c r="X90" s="85"/>
      <c r="Y90" s="85">
        <v>1</v>
      </c>
      <c r="Z90" s="85">
        <v>1</v>
      </c>
      <c r="AA90" s="86">
        <f t="shared" si="14"/>
        <v>0</v>
      </c>
      <c r="AB90" s="86">
        <f t="shared" si="15"/>
        <v>0</v>
      </c>
    </row>
    <row r="91" spans="1:28" ht="21" x14ac:dyDescent="0.25">
      <c r="A91" s="85" t="s">
        <v>236</v>
      </c>
      <c r="B91" s="85" t="s">
        <v>243</v>
      </c>
      <c r="C91" s="85" t="s">
        <v>56</v>
      </c>
      <c r="D91" s="111"/>
      <c r="E91" s="111"/>
      <c r="F91" s="85">
        <v>600</v>
      </c>
      <c r="G91" s="85">
        <v>3.2</v>
      </c>
      <c r="H91" s="85">
        <v>26</v>
      </c>
      <c r="I91" s="85">
        <v>10.4</v>
      </c>
      <c r="J91" s="85">
        <v>18.2</v>
      </c>
      <c r="K91" s="85">
        <v>23.5</v>
      </c>
      <c r="L91" s="85">
        <v>94</v>
      </c>
      <c r="M91" s="85">
        <v>37.6</v>
      </c>
      <c r="N91" s="85">
        <v>108.8</v>
      </c>
      <c r="O91" s="85">
        <f t="shared" si="16"/>
        <v>120</v>
      </c>
      <c r="P91" s="50">
        <f t="shared" si="17"/>
        <v>0</v>
      </c>
      <c r="Q91" s="70">
        <f t="shared" si="18"/>
        <v>0</v>
      </c>
      <c r="R91" s="70">
        <f t="shared" si="19"/>
        <v>0</v>
      </c>
      <c r="S91" s="70">
        <f t="shared" si="20"/>
        <v>0</v>
      </c>
      <c r="T91" s="70">
        <f t="shared" si="21"/>
        <v>0</v>
      </c>
      <c r="U91" s="70">
        <f t="shared" si="13"/>
        <v>0</v>
      </c>
      <c r="V91" s="345">
        <f t="shared" si="22"/>
        <v>0</v>
      </c>
      <c r="W91" s="345">
        <f t="shared" si="23"/>
        <v>0</v>
      </c>
      <c r="X91" s="85"/>
      <c r="Y91" s="85">
        <v>1</v>
      </c>
      <c r="Z91" s="85">
        <v>1</v>
      </c>
      <c r="AA91" s="86">
        <f t="shared" si="14"/>
        <v>0</v>
      </c>
      <c r="AB91" s="86">
        <f t="shared" si="15"/>
        <v>0</v>
      </c>
    </row>
    <row r="92" spans="1:28" ht="21" x14ac:dyDescent="0.25">
      <c r="A92" s="85" t="s">
        <v>236</v>
      </c>
      <c r="B92" s="85" t="s">
        <v>243</v>
      </c>
      <c r="C92" s="85" t="s">
        <v>127</v>
      </c>
      <c r="D92" s="111"/>
      <c r="E92" s="111"/>
      <c r="F92" s="85">
        <v>600</v>
      </c>
      <c r="G92" s="85"/>
      <c r="H92" s="85"/>
      <c r="I92" s="85"/>
      <c r="J92" s="85"/>
      <c r="K92" s="85">
        <v>26.7</v>
      </c>
      <c r="L92" s="85">
        <v>120</v>
      </c>
      <c r="M92" s="85">
        <v>48</v>
      </c>
      <c r="N92" s="85">
        <v>127</v>
      </c>
      <c r="O92" s="85">
        <f t="shared" si="16"/>
        <v>120</v>
      </c>
      <c r="P92" s="50">
        <f t="shared" si="17"/>
        <v>0</v>
      </c>
      <c r="Q92" s="70">
        <f t="shared" si="18"/>
        <v>0</v>
      </c>
      <c r="R92" s="70">
        <f t="shared" si="19"/>
        <v>0</v>
      </c>
      <c r="S92" s="70">
        <f t="shared" si="20"/>
        <v>0</v>
      </c>
      <c r="T92" s="70">
        <f t="shared" si="21"/>
        <v>0</v>
      </c>
      <c r="U92" s="70">
        <f t="shared" si="13"/>
        <v>0</v>
      </c>
      <c r="V92" s="345">
        <f t="shared" si="22"/>
        <v>0</v>
      </c>
      <c r="W92" s="345">
        <f t="shared" si="23"/>
        <v>0</v>
      </c>
      <c r="X92" s="85"/>
      <c r="Y92" s="85">
        <v>1</v>
      </c>
      <c r="Z92" s="85">
        <v>1</v>
      </c>
      <c r="AA92" s="86">
        <f t="shared" si="14"/>
        <v>0</v>
      </c>
      <c r="AB92" s="86">
        <f t="shared" si="15"/>
        <v>0</v>
      </c>
    </row>
    <row r="93" spans="1:28" ht="21" x14ac:dyDescent="0.25">
      <c r="A93" s="85" t="s">
        <v>236</v>
      </c>
      <c r="B93" s="85" t="s">
        <v>243</v>
      </c>
      <c r="C93" s="85" t="s">
        <v>59</v>
      </c>
      <c r="D93" s="111"/>
      <c r="E93" s="111"/>
      <c r="F93" s="85">
        <v>600</v>
      </c>
      <c r="G93" s="85">
        <v>2.8</v>
      </c>
      <c r="H93" s="85">
        <v>17</v>
      </c>
      <c r="I93" s="85">
        <v>6.8</v>
      </c>
      <c r="J93" s="85">
        <v>14.7</v>
      </c>
      <c r="K93" s="85">
        <v>24</v>
      </c>
      <c r="L93" s="85">
        <v>103</v>
      </c>
      <c r="M93" s="85">
        <v>41.2</v>
      </c>
      <c r="N93" s="85">
        <v>112.3</v>
      </c>
      <c r="O93" s="85">
        <f t="shared" si="16"/>
        <v>120</v>
      </c>
      <c r="P93" s="50">
        <f t="shared" si="17"/>
        <v>0</v>
      </c>
      <c r="Q93" s="70">
        <f t="shared" si="18"/>
        <v>0</v>
      </c>
      <c r="R93" s="70">
        <f t="shared" si="19"/>
        <v>0</v>
      </c>
      <c r="S93" s="70">
        <f t="shared" si="20"/>
        <v>0</v>
      </c>
      <c r="T93" s="70">
        <f t="shared" si="21"/>
        <v>0</v>
      </c>
      <c r="U93" s="70">
        <f t="shared" si="13"/>
        <v>0</v>
      </c>
      <c r="V93" s="345">
        <f t="shared" si="22"/>
        <v>0</v>
      </c>
      <c r="W93" s="345">
        <f t="shared" si="23"/>
        <v>0</v>
      </c>
      <c r="X93" s="85"/>
      <c r="Y93" s="85">
        <v>1</v>
      </c>
      <c r="Z93" s="85">
        <v>1</v>
      </c>
      <c r="AA93" s="86">
        <f t="shared" si="14"/>
        <v>0</v>
      </c>
      <c r="AB93" s="86">
        <f t="shared" si="15"/>
        <v>0</v>
      </c>
    </row>
    <row r="94" spans="1:28" ht="21" x14ac:dyDescent="0.25">
      <c r="A94" s="85" t="s">
        <v>236</v>
      </c>
      <c r="B94" s="85" t="s">
        <v>243</v>
      </c>
      <c r="C94" s="85" t="s">
        <v>128</v>
      </c>
      <c r="D94" s="111"/>
      <c r="E94" s="111"/>
      <c r="F94" s="85">
        <v>600</v>
      </c>
      <c r="G94" s="85"/>
      <c r="H94" s="85"/>
      <c r="I94" s="85"/>
      <c r="J94" s="85"/>
      <c r="K94" s="85">
        <v>26.8</v>
      </c>
      <c r="L94" s="85">
        <v>120</v>
      </c>
      <c r="M94" s="85">
        <v>48</v>
      </c>
      <c r="N94" s="85">
        <v>127</v>
      </c>
      <c r="O94" s="85">
        <f t="shared" si="16"/>
        <v>120</v>
      </c>
      <c r="P94" s="50">
        <f t="shared" si="17"/>
        <v>0</v>
      </c>
      <c r="Q94" s="70">
        <f t="shared" si="18"/>
        <v>0</v>
      </c>
      <c r="R94" s="70">
        <f t="shared" si="19"/>
        <v>0</v>
      </c>
      <c r="S94" s="70">
        <f t="shared" si="20"/>
        <v>0</v>
      </c>
      <c r="T94" s="70">
        <f t="shared" si="21"/>
        <v>0</v>
      </c>
      <c r="U94" s="70">
        <f t="shared" si="13"/>
        <v>0</v>
      </c>
      <c r="V94" s="345">
        <f t="shared" si="22"/>
        <v>0</v>
      </c>
      <c r="W94" s="345">
        <f t="shared" si="23"/>
        <v>0</v>
      </c>
      <c r="X94" s="85"/>
      <c r="Y94" s="85">
        <v>1</v>
      </c>
      <c r="Z94" s="85">
        <v>1</v>
      </c>
      <c r="AA94" s="86">
        <f t="shared" si="14"/>
        <v>0</v>
      </c>
      <c r="AB94" s="86">
        <f t="shared" si="15"/>
        <v>0</v>
      </c>
    </row>
    <row r="95" spans="1:28" ht="21" x14ac:dyDescent="0.25">
      <c r="A95" s="85" t="s">
        <v>236</v>
      </c>
      <c r="B95" s="85" t="s">
        <v>243</v>
      </c>
      <c r="C95" s="85" t="s">
        <v>46</v>
      </c>
      <c r="D95" s="111"/>
      <c r="E95" s="111"/>
      <c r="F95" s="85">
        <v>600</v>
      </c>
      <c r="G95" s="85">
        <v>16</v>
      </c>
      <c r="H95" s="85">
        <v>61</v>
      </c>
      <c r="I95" s="85">
        <v>24.4</v>
      </c>
      <c r="J95" s="85">
        <v>68</v>
      </c>
      <c r="K95" s="85">
        <v>13.9</v>
      </c>
      <c r="L95" s="85">
        <v>59</v>
      </c>
      <c r="M95" s="85">
        <v>23.6</v>
      </c>
      <c r="N95" s="85">
        <v>59</v>
      </c>
      <c r="O95" s="85">
        <f t="shared" si="16"/>
        <v>120</v>
      </c>
      <c r="P95" s="50">
        <f t="shared" si="17"/>
        <v>0</v>
      </c>
      <c r="Q95" s="70">
        <f t="shared" si="18"/>
        <v>0</v>
      </c>
      <c r="R95" s="70">
        <f t="shared" si="19"/>
        <v>0</v>
      </c>
      <c r="S95" s="70">
        <f t="shared" si="20"/>
        <v>0</v>
      </c>
      <c r="T95" s="70">
        <f t="shared" si="21"/>
        <v>0</v>
      </c>
      <c r="U95" s="70">
        <f t="shared" si="13"/>
        <v>0</v>
      </c>
      <c r="V95" s="345">
        <f t="shared" si="22"/>
        <v>0</v>
      </c>
      <c r="W95" s="345">
        <f t="shared" si="23"/>
        <v>0</v>
      </c>
      <c r="X95" s="85"/>
      <c r="Y95" s="85">
        <v>1</v>
      </c>
      <c r="Z95" s="85">
        <v>1</v>
      </c>
      <c r="AA95" s="86">
        <f t="shared" si="14"/>
        <v>0</v>
      </c>
      <c r="AB95" s="86">
        <f t="shared" si="15"/>
        <v>0</v>
      </c>
    </row>
    <row r="96" spans="1:28" ht="21" x14ac:dyDescent="0.25">
      <c r="A96" s="85" t="s">
        <v>236</v>
      </c>
      <c r="B96" s="85" t="s">
        <v>243</v>
      </c>
      <c r="C96" s="85" t="s">
        <v>47</v>
      </c>
      <c r="D96" s="111"/>
      <c r="E96" s="111"/>
      <c r="F96" s="85">
        <v>600</v>
      </c>
      <c r="G96" s="85">
        <v>9</v>
      </c>
      <c r="H96" s="85">
        <v>59</v>
      </c>
      <c r="I96" s="85">
        <v>23.6</v>
      </c>
      <c r="J96" s="85">
        <v>37.5</v>
      </c>
      <c r="K96" s="85">
        <v>21.5</v>
      </c>
      <c r="L96" s="85">
        <v>61</v>
      </c>
      <c r="M96" s="85">
        <v>24.4</v>
      </c>
      <c r="N96" s="85">
        <v>89.5</v>
      </c>
      <c r="O96" s="85">
        <f t="shared" si="16"/>
        <v>120</v>
      </c>
      <c r="P96" s="50">
        <f t="shared" si="17"/>
        <v>0</v>
      </c>
      <c r="Q96" s="70">
        <f t="shared" si="18"/>
        <v>0</v>
      </c>
      <c r="R96" s="70">
        <f t="shared" si="19"/>
        <v>0</v>
      </c>
      <c r="S96" s="70">
        <f t="shared" si="20"/>
        <v>0</v>
      </c>
      <c r="T96" s="70">
        <f t="shared" si="21"/>
        <v>0</v>
      </c>
      <c r="U96" s="70">
        <f t="shared" si="13"/>
        <v>0</v>
      </c>
      <c r="V96" s="345">
        <f t="shared" si="22"/>
        <v>0</v>
      </c>
      <c r="W96" s="345">
        <f t="shared" si="23"/>
        <v>0</v>
      </c>
      <c r="X96" s="85"/>
      <c r="Y96" s="85">
        <v>1</v>
      </c>
      <c r="Z96" s="85">
        <v>1</v>
      </c>
      <c r="AA96" s="86">
        <f t="shared" si="14"/>
        <v>0</v>
      </c>
      <c r="AB96" s="86">
        <f t="shared" si="15"/>
        <v>0</v>
      </c>
    </row>
    <row r="97" spans="1:28" ht="21" x14ac:dyDescent="0.25">
      <c r="A97" s="85" t="s">
        <v>236</v>
      </c>
      <c r="B97" s="85" t="s">
        <v>243</v>
      </c>
      <c r="C97" s="85" t="s">
        <v>45</v>
      </c>
      <c r="D97" s="111"/>
      <c r="E97" s="111"/>
      <c r="F97" s="85">
        <v>600</v>
      </c>
      <c r="G97" s="85">
        <v>26</v>
      </c>
      <c r="H97" s="85">
        <v>120</v>
      </c>
      <c r="I97" s="85">
        <v>48</v>
      </c>
      <c r="J97" s="85">
        <v>127</v>
      </c>
      <c r="K97" s="85"/>
      <c r="L97" s="85"/>
      <c r="M97" s="85"/>
      <c r="N97" s="85"/>
      <c r="O97" s="85">
        <f t="shared" si="16"/>
        <v>120</v>
      </c>
      <c r="P97" s="50">
        <f t="shared" si="17"/>
        <v>0</v>
      </c>
      <c r="Q97" s="70">
        <f t="shared" si="18"/>
        <v>0</v>
      </c>
      <c r="R97" s="70">
        <f t="shared" si="19"/>
        <v>0</v>
      </c>
      <c r="S97" s="70">
        <f t="shared" si="20"/>
        <v>0</v>
      </c>
      <c r="T97" s="70">
        <f t="shared" si="21"/>
        <v>0</v>
      </c>
      <c r="U97" s="70">
        <f t="shared" si="13"/>
        <v>0</v>
      </c>
      <c r="V97" s="345">
        <f t="shared" si="22"/>
        <v>0</v>
      </c>
      <c r="W97" s="345">
        <f t="shared" si="23"/>
        <v>0</v>
      </c>
      <c r="X97" s="85"/>
      <c r="Y97" s="85">
        <v>1</v>
      </c>
      <c r="Z97" s="85">
        <v>1</v>
      </c>
      <c r="AA97" s="86">
        <f t="shared" si="14"/>
        <v>0</v>
      </c>
      <c r="AB97" s="86">
        <f t="shared" si="15"/>
        <v>0</v>
      </c>
    </row>
    <row r="98" spans="1:28" ht="21" x14ac:dyDescent="0.25">
      <c r="A98" s="85" t="s">
        <v>236</v>
      </c>
      <c r="B98" s="85" t="s">
        <v>243</v>
      </c>
      <c r="C98" s="85" t="s">
        <v>57</v>
      </c>
      <c r="D98" s="111"/>
      <c r="E98" s="111"/>
      <c r="F98" s="85">
        <v>600</v>
      </c>
      <c r="G98" s="85">
        <v>26</v>
      </c>
      <c r="H98" s="85">
        <v>120</v>
      </c>
      <c r="I98" s="85">
        <v>48</v>
      </c>
      <c r="J98" s="85">
        <v>127</v>
      </c>
      <c r="K98" s="85"/>
      <c r="L98" s="85"/>
      <c r="M98" s="85"/>
      <c r="N98" s="85"/>
      <c r="O98" s="85">
        <f t="shared" si="16"/>
        <v>120</v>
      </c>
      <c r="P98" s="50">
        <f t="shared" si="17"/>
        <v>0</v>
      </c>
      <c r="Q98" s="70">
        <f t="shared" si="18"/>
        <v>0</v>
      </c>
      <c r="R98" s="70">
        <f t="shared" si="19"/>
        <v>0</v>
      </c>
      <c r="S98" s="70">
        <f t="shared" si="20"/>
        <v>0</v>
      </c>
      <c r="T98" s="70">
        <f t="shared" si="21"/>
        <v>0</v>
      </c>
      <c r="U98" s="70">
        <f t="shared" si="13"/>
        <v>0</v>
      </c>
      <c r="V98" s="345">
        <f t="shared" si="22"/>
        <v>0</v>
      </c>
      <c r="W98" s="345">
        <f t="shared" si="23"/>
        <v>0</v>
      </c>
      <c r="X98" s="85"/>
      <c r="Y98" s="85">
        <v>1</v>
      </c>
      <c r="Z98" s="85">
        <v>1</v>
      </c>
      <c r="AA98" s="86">
        <f t="shared" si="14"/>
        <v>0</v>
      </c>
      <c r="AB98" s="86">
        <f t="shared" si="15"/>
        <v>0</v>
      </c>
    </row>
    <row r="99" spans="1:28" ht="21" x14ac:dyDescent="0.25">
      <c r="A99" s="85" t="s">
        <v>236</v>
      </c>
      <c r="B99" s="85" t="s">
        <v>243</v>
      </c>
      <c r="C99" s="85" t="s">
        <v>49</v>
      </c>
      <c r="D99" s="111"/>
      <c r="E99" s="111"/>
      <c r="F99" s="85">
        <v>600</v>
      </c>
      <c r="G99" s="85">
        <v>2.8</v>
      </c>
      <c r="H99" s="85">
        <v>17</v>
      </c>
      <c r="I99" s="85">
        <v>6.8</v>
      </c>
      <c r="J99" s="85">
        <v>11.9</v>
      </c>
      <c r="K99" s="85">
        <v>24</v>
      </c>
      <c r="L99" s="85">
        <v>103</v>
      </c>
      <c r="M99" s="85">
        <v>41.2</v>
      </c>
      <c r="N99" s="85">
        <v>115.1</v>
      </c>
      <c r="O99" s="85">
        <f t="shared" si="16"/>
        <v>120</v>
      </c>
      <c r="P99" s="50">
        <f t="shared" si="17"/>
        <v>0</v>
      </c>
      <c r="Q99" s="70">
        <f t="shared" si="18"/>
        <v>0</v>
      </c>
      <c r="R99" s="70">
        <f t="shared" si="19"/>
        <v>0</v>
      </c>
      <c r="S99" s="70">
        <f t="shared" si="20"/>
        <v>0</v>
      </c>
      <c r="T99" s="70">
        <f t="shared" si="21"/>
        <v>0</v>
      </c>
      <c r="U99" s="70">
        <f t="shared" si="13"/>
        <v>0</v>
      </c>
      <c r="V99" s="345">
        <f t="shared" si="22"/>
        <v>0</v>
      </c>
      <c r="W99" s="345">
        <f t="shared" si="23"/>
        <v>0</v>
      </c>
      <c r="X99" s="85"/>
      <c r="Y99" s="85">
        <v>1</v>
      </c>
      <c r="Z99" s="85">
        <v>1</v>
      </c>
      <c r="AA99" s="86">
        <f t="shared" si="14"/>
        <v>0</v>
      </c>
      <c r="AB99" s="86">
        <f t="shared" si="15"/>
        <v>0</v>
      </c>
    </row>
    <row r="100" spans="1:28" ht="21" x14ac:dyDescent="0.25">
      <c r="A100" s="85" t="s">
        <v>236</v>
      </c>
      <c r="B100" s="85" t="s">
        <v>243</v>
      </c>
      <c r="C100" s="85" t="s">
        <v>126</v>
      </c>
      <c r="D100" s="111"/>
      <c r="E100" s="111"/>
      <c r="F100" s="85">
        <v>600</v>
      </c>
      <c r="G100" s="85"/>
      <c r="H100" s="85"/>
      <c r="I100" s="85"/>
      <c r="J100" s="85"/>
      <c r="K100" s="85">
        <v>26.8</v>
      </c>
      <c r="L100" s="85">
        <v>120</v>
      </c>
      <c r="M100" s="85">
        <v>48</v>
      </c>
      <c r="N100" s="85">
        <v>127</v>
      </c>
      <c r="O100" s="85">
        <f t="shared" si="16"/>
        <v>120</v>
      </c>
      <c r="P100" s="50">
        <f t="shared" si="17"/>
        <v>0</v>
      </c>
      <c r="Q100" s="70">
        <f t="shared" si="18"/>
        <v>0</v>
      </c>
      <c r="R100" s="70">
        <f t="shared" si="19"/>
        <v>0</v>
      </c>
      <c r="S100" s="70">
        <f t="shared" si="20"/>
        <v>0</v>
      </c>
      <c r="T100" s="70">
        <f t="shared" si="21"/>
        <v>0</v>
      </c>
      <c r="U100" s="70">
        <f t="shared" si="13"/>
        <v>0</v>
      </c>
      <c r="V100" s="345">
        <f t="shared" si="22"/>
        <v>0</v>
      </c>
      <c r="W100" s="345">
        <f t="shared" si="23"/>
        <v>0</v>
      </c>
      <c r="X100" s="85"/>
      <c r="Y100" s="85">
        <v>1</v>
      </c>
      <c r="Z100" s="85">
        <v>1</v>
      </c>
      <c r="AA100" s="86">
        <f t="shared" si="14"/>
        <v>0</v>
      </c>
      <c r="AB100" s="86">
        <f t="shared" si="15"/>
        <v>0</v>
      </c>
    </row>
    <row r="101" spans="1:28" ht="21" x14ac:dyDescent="0.25">
      <c r="A101" s="85" t="s">
        <v>236</v>
      </c>
      <c r="B101" s="85" t="s">
        <v>243</v>
      </c>
      <c r="C101" s="85" t="s">
        <v>58</v>
      </c>
      <c r="D101" s="111"/>
      <c r="E101" s="111"/>
      <c r="F101" s="85">
        <v>600</v>
      </c>
      <c r="G101" s="85">
        <v>13</v>
      </c>
      <c r="H101" s="85">
        <v>61</v>
      </c>
      <c r="I101" s="85">
        <v>24.4</v>
      </c>
      <c r="J101" s="85">
        <v>40.9</v>
      </c>
      <c r="K101" s="85">
        <v>27.4</v>
      </c>
      <c r="L101" s="85">
        <v>59</v>
      </c>
      <c r="M101" s="85">
        <v>23.6</v>
      </c>
      <c r="N101" s="85">
        <v>86.1</v>
      </c>
      <c r="O101" s="85">
        <f t="shared" si="16"/>
        <v>120</v>
      </c>
      <c r="P101" s="50">
        <f t="shared" si="17"/>
        <v>0</v>
      </c>
      <c r="Q101" s="70">
        <f t="shared" si="18"/>
        <v>0</v>
      </c>
      <c r="R101" s="70">
        <f t="shared" si="19"/>
        <v>0</v>
      </c>
      <c r="S101" s="70">
        <f t="shared" si="20"/>
        <v>0</v>
      </c>
      <c r="T101" s="70">
        <f t="shared" si="21"/>
        <v>0</v>
      </c>
      <c r="U101" s="70">
        <f t="shared" si="13"/>
        <v>0</v>
      </c>
      <c r="V101" s="345">
        <f t="shared" si="22"/>
        <v>0</v>
      </c>
      <c r="W101" s="345">
        <f t="shared" si="23"/>
        <v>0</v>
      </c>
      <c r="X101" s="85"/>
      <c r="Y101" s="85">
        <v>1</v>
      </c>
      <c r="Z101" s="85">
        <v>1</v>
      </c>
      <c r="AA101" s="86">
        <f t="shared" si="14"/>
        <v>0</v>
      </c>
      <c r="AB101" s="86">
        <f t="shared" si="15"/>
        <v>0</v>
      </c>
    </row>
    <row r="102" spans="1:28" ht="21" x14ac:dyDescent="0.25">
      <c r="A102" s="85" t="s">
        <v>236</v>
      </c>
      <c r="B102" s="85" t="s">
        <v>243</v>
      </c>
      <c r="C102" s="85" t="s">
        <v>131</v>
      </c>
      <c r="D102" s="111"/>
      <c r="E102" s="111"/>
      <c r="F102" s="85">
        <v>600</v>
      </c>
      <c r="G102" s="85"/>
      <c r="H102" s="85"/>
      <c r="I102" s="85"/>
      <c r="J102" s="85"/>
      <c r="K102" s="85">
        <v>40.4</v>
      </c>
      <c r="L102" s="85">
        <v>120</v>
      </c>
      <c r="M102" s="85">
        <v>48</v>
      </c>
      <c r="N102" s="85">
        <v>127</v>
      </c>
      <c r="O102" s="85">
        <f t="shared" si="16"/>
        <v>120</v>
      </c>
      <c r="P102" s="50">
        <f t="shared" si="17"/>
        <v>0</v>
      </c>
      <c r="Q102" s="70">
        <f t="shared" si="18"/>
        <v>0</v>
      </c>
      <c r="R102" s="70">
        <f t="shared" si="19"/>
        <v>0</v>
      </c>
      <c r="S102" s="70">
        <f t="shared" si="20"/>
        <v>0</v>
      </c>
      <c r="T102" s="70">
        <f t="shared" si="21"/>
        <v>0</v>
      </c>
      <c r="U102" s="70">
        <f t="shared" si="13"/>
        <v>0</v>
      </c>
      <c r="V102" s="345">
        <f t="shared" si="22"/>
        <v>0</v>
      </c>
      <c r="W102" s="345">
        <f t="shared" si="23"/>
        <v>0</v>
      </c>
      <c r="X102" s="85"/>
      <c r="Y102" s="85">
        <v>1</v>
      </c>
      <c r="Z102" s="85">
        <v>1</v>
      </c>
      <c r="AA102" s="86">
        <f t="shared" si="14"/>
        <v>0</v>
      </c>
      <c r="AB102" s="86">
        <f t="shared" si="15"/>
        <v>0</v>
      </c>
    </row>
    <row r="103" spans="1:28" ht="21" x14ac:dyDescent="0.25">
      <c r="A103" s="85" t="s">
        <v>249</v>
      </c>
      <c r="B103" s="85" t="s">
        <v>72</v>
      </c>
      <c r="C103" s="85" t="s">
        <v>56</v>
      </c>
      <c r="D103" s="111"/>
      <c r="E103" s="111"/>
      <c r="F103" s="85">
        <v>800</v>
      </c>
      <c r="G103" s="85">
        <v>3.2</v>
      </c>
      <c r="H103" s="85">
        <v>18</v>
      </c>
      <c r="I103" s="85">
        <v>7.2</v>
      </c>
      <c r="J103" s="85">
        <v>13.2</v>
      </c>
      <c r="K103" s="85">
        <v>23.5</v>
      </c>
      <c r="L103" s="85">
        <v>66</v>
      </c>
      <c r="M103" s="85">
        <v>26.4</v>
      </c>
      <c r="N103" s="85">
        <v>78.8</v>
      </c>
      <c r="O103" s="85">
        <f t="shared" si="16"/>
        <v>84</v>
      </c>
      <c r="P103" s="50">
        <f t="shared" si="17"/>
        <v>0</v>
      </c>
      <c r="Q103" s="70">
        <f t="shared" si="18"/>
        <v>0</v>
      </c>
      <c r="R103" s="70">
        <f t="shared" si="19"/>
        <v>0</v>
      </c>
      <c r="S103" s="70">
        <f t="shared" si="20"/>
        <v>0</v>
      </c>
      <c r="T103" s="70">
        <f t="shared" si="21"/>
        <v>0</v>
      </c>
      <c r="U103" s="70">
        <f t="shared" si="13"/>
        <v>0</v>
      </c>
      <c r="V103" s="345">
        <f t="shared" si="22"/>
        <v>0</v>
      </c>
      <c r="W103" s="345">
        <f t="shared" si="23"/>
        <v>0</v>
      </c>
      <c r="X103" s="85"/>
      <c r="Y103" s="85">
        <v>1</v>
      </c>
      <c r="Z103" s="85">
        <v>1</v>
      </c>
      <c r="AA103" s="86">
        <f t="shared" si="14"/>
        <v>0</v>
      </c>
      <c r="AB103" s="86">
        <f t="shared" si="15"/>
        <v>0</v>
      </c>
    </row>
    <row r="104" spans="1:28" ht="21" x14ac:dyDescent="0.25">
      <c r="A104" s="85" t="s">
        <v>251</v>
      </c>
      <c r="B104" s="85" t="s">
        <v>72</v>
      </c>
      <c r="C104" s="85" t="s">
        <v>56</v>
      </c>
      <c r="D104" s="111"/>
      <c r="E104" s="111"/>
      <c r="F104" s="85">
        <v>800</v>
      </c>
      <c r="G104" s="85">
        <v>3.2</v>
      </c>
      <c r="H104" s="85">
        <v>18</v>
      </c>
      <c r="I104" s="85">
        <v>7.2</v>
      </c>
      <c r="J104" s="85">
        <v>13.2</v>
      </c>
      <c r="K104" s="85">
        <v>23.5</v>
      </c>
      <c r="L104" s="85">
        <v>66</v>
      </c>
      <c r="M104" s="85">
        <v>26.4</v>
      </c>
      <c r="N104" s="85">
        <v>78.8</v>
      </c>
      <c r="O104" s="85">
        <f t="shared" si="16"/>
        <v>84</v>
      </c>
      <c r="P104" s="50">
        <f t="shared" si="17"/>
        <v>0</v>
      </c>
      <c r="Q104" s="70">
        <f t="shared" si="18"/>
        <v>0</v>
      </c>
      <c r="R104" s="70">
        <f t="shared" si="19"/>
        <v>0</v>
      </c>
      <c r="S104" s="70">
        <f t="shared" si="20"/>
        <v>0</v>
      </c>
      <c r="T104" s="70">
        <f t="shared" si="21"/>
        <v>0</v>
      </c>
      <c r="U104" s="70">
        <f t="shared" si="13"/>
        <v>0</v>
      </c>
      <c r="V104" s="345">
        <f t="shared" si="22"/>
        <v>0</v>
      </c>
      <c r="W104" s="345">
        <f t="shared" si="23"/>
        <v>0</v>
      </c>
      <c r="X104" s="85"/>
      <c r="Y104" s="85">
        <v>1</v>
      </c>
      <c r="Z104" s="85">
        <v>1</v>
      </c>
      <c r="AA104" s="86">
        <f t="shared" ref="AA104:AA135" si="24">Y104*D104</f>
        <v>0</v>
      </c>
      <c r="AB104" s="86">
        <f t="shared" ref="AB104:AB135" si="25">Z104*D104</f>
        <v>0</v>
      </c>
    </row>
    <row r="105" spans="1:28" ht="21" x14ac:dyDescent="0.25">
      <c r="A105" s="85" t="s">
        <v>249</v>
      </c>
      <c r="B105" s="85" t="s">
        <v>72</v>
      </c>
      <c r="C105" s="85" t="s">
        <v>127</v>
      </c>
      <c r="D105" s="111"/>
      <c r="E105" s="111"/>
      <c r="F105" s="85">
        <v>800</v>
      </c>
      <c r="G105" s="85"/>
      <c r="H105" s="85"/>
      <c r="I105" s="85"/>
      <c r="J105" s="85"/>
      <c r="K105" s="85">
        <v>26.7</v>
      </c>
      <c r="L105" s="85">
        <v>84</v>
      </c>
      <c r="M105" s="85">
        <v>33.6</v>
      </c>
      <c r="N105" s="85">
        <v>92</v>
      </c>
      <c r="O105" s="85">
        <f t="shared" si="16"/>
        <v>84</v>
      </c>
      <c r="P105" s="50">
        <f t="shared" si="17"/>
        <v>0</v>
      </c>
      <c r="Q105" s="70">
        <f t="shared" si="18"/>
        <v>0</v>
      </c>
      <c r="R105" s="70">
        <f t="shared" si="19"/>
        <v>0</v>
      </c>
      <c r="S105" s="70">
        <f t="shared" si="20"/>
        <v>0</v>
      </c>
      <c r="T105" s="70">
        <f t="shared" si="21"/>
        <v>0</v>
      </c>
      <c r="U105" s="70">
        <f t="shared" si="13"/>
        <v>0</v>
      </c>
      <c r="V105" s="345">
        <f t="shared" si="22"/>
        <v>0</v>
      </c>
      <c r="W105" s="345">
        <f t="shared" si="23"/>
        <v>0</v>
      </c>
      <c r="X105" s="85"/>
      <c r="Y105" s="85">
        <v>1</v>
      </c>
      <c r="Z105" s="85">
        <v>1</v>
      </c>
      <c r="AA105" s="86">
        <f t="shared" si="24"/>
        <v>0</v>
      </c>
      <c r="AB105" s="86">
        <f t="shared" si="25"/>
        <v>0</v>
      </c>
    </row>
    <row r="106" spans="1:28" ht="21" x14ac:dyDescent="0.25">
      <c r="A106" s="85" t="s">
        <v>251</v>
      </c>
      <c r="B106" s="85" t="s">
        <v>72</v>
      </c>
      <c r="C106" s="85" t="s">
        <v>127</v>
      </c>
      <c r="D106" s="111"/>
      <c r="E106" s="111"/>
      <c r="F106" s="85">
        <v>800</v>
      </c>
      <c r="G106" s="85"/>
      <c r="H106" s="85"/>
      <c r="I106" s="85"/>
      <c r="J106" s="85"/>
      <c r="K106" s="85">
        <v>26.7</v>
      </c>
      <c r="L106" s="85">
        <v>84</v>
      </c>
      <c r="M106" s="85">
        <v>33.6</v>
      </c>
      <c r="N106" s="85">
        <v>92</v>
      </c>
      <c r="O106" s="85">
        <f t="shared" si="16"/>
        <v>84</v>
      </c>
      <c r="P106" s="50">
        <f t="shared" si="17"/>
        <v>0</v>
      </c>
      <c r="Q106" s="70">
        <f t="shared" si="18"/>
        <v>0</v>
      </c>
      <c r="R106" s="70">
        <f t="shared" si="19"/>
        <v>0</v>
      </c>
      <c r="S106" s="70">
        <f t="shared" si="20"/>
        <v>0</v>
      </c>
      <c r="T106" s="70">
        <f t="shared" si="21"/>
        <v>0</v>
      </c>
      <c r="U106" s="70">
        <f t="shared" si="13"/>
        <v>0</v>
      </c>
      <c r="V106" s="345">
        <f t="shared" si="22"/>
        <v>0</v>
      </c>
      <c r="W106" s="345">
        <f t="shared" si="23"/>
        <v>0</v>
      </c>
      <c r="X106" s="85"/>
      <c r="Y106" s="85">
        <v>1</v>
      </c>
      <c r="Z106" s="85">
        <v>1</v>
      </c>
      <c r="AA106" s="86">
        <f t="shared" si="24"/>
        <v>0</v>
      </c>
      <c r="AB106" s="86">
        <f t="shared" si="25"/>
        <v>0</v>
      </c>
    </row>
    <row r="107" spans="1:28" ht="21" x14ac:dyDescent="0.25">
      <c r="A107" s="85" t="s">
        <v>249</v>
      </c>
      <c r="B107" s="85" t="s">
        <v>72</v>
      </c>
      <c r="C107" s="85" t="s">
        <v>59</v>
      </c>
      <c r="D107" s="111"/>
      <c r="E107" s="111"/>
      <c r="F107" s="85">
        <v>800</v>
      </c>
      <c r="G107" s="85">
        <v>2.8</v>
      </c>
      <c r="H107" s="85">
        <v>12</v>
      </c>
      <c r="I107" s="85">
        <v>4.8</v>
      </c>
      <c r="J107" s="85">
        <v>10.6</v>
      </c>
      <c r="K107" s="85">
        <v>24</v>
      </c>
      <c r="L107" s="85">
        <v>72</v>
      </c>
      <c r="M107" s="85">
        <v>28.8</v>
      </c>
      <c r="N107" s="85">
        <v>81.400000000000006</v>
      </c>
      <c r="O107" s="85">
        <f t="shared" si="16"/>
        <v>84</v>
      </c>
      <c r="P107" s="50">
        <f t="shared" si="17"/>
        <v>0</v>
      </c>
      <c r="Q107" s="70">
        <f t="shared" si="18"/>
        <v>0</v>
      </c>
      <c r="R107" s="70">
        <f t="shared" si="19"/>
        <v>0</v>
      </c>
      <c r="S107" s="70">
        <f t="shared" si="20"/>
        <v>0</v>
      </c>
      <c r="T107" s="70">
        <f t="shared" si="21"/>
        <v>0</v>
      </c>
      <c r="U107" s="70">
        <f t="shared" si="13"/>
        <v>0</v>
      </c>
      <c r="V107" s="345">
        <f t="shared" si="22"/>
        <v>0</v>
      </c>
      <c r="W107" s="345">
        <f t="shared" si="23"/>
        <v>0</v>
      </c>
      <c r="X107" s="85"/>
      <c r="Y107" s="85">
        <v>1</v>
      </c>
      <c r="Z107" s="85">
        <v>1</v>
      </c>
      <c r="AA107" s="86">
        <f t="shared" si="24"/>
        <v>0</v>
      </c>
      <c r="AB107" s="86">
        <f t="shared" si="25"/>
        <v>0</v>
      </c>
    </row>
    <row r="108" spans="1:28" ht="21" x14ac:dyDescent="0.25">
      <c r="A108" s="85" t="s">
        <v>251</v>
      </c>
      <c r="B108" s="85" t="s">
        <v>72</v>
      </c>
      <c r="C108" s="85" t="s">
        <v>59</v>
      </c>
      <c r="D108" s="111"/>
      <c r="E108" s="111"/>
      <c r="F108" s="85">
        <v>800</v>
      </c>
      <c r="G108" s="85">
        <v>2.8</v>
      </c>
      <c r="H108" s="85">
        <v>12</v>
      </c>
      <c r="I108" s="85">
        <v>4.8</v>
      </c>
      <c r="J108" s="85">
        <v>10.6</v>
      </c>
      <c r="K108" s="85">
        <v>24</v>
      </c>
      <c r="L108" s="85">
        <v>72</v>
      </c>
      <c r="M108" s="85">
        <v>28.8</v>
      </c>
      <c r="N108" s="85">
        <v>81.400000000000006</v>
      </c>
      <c r="O108" s="85">
        <f t="shared" si="16"/>
        <v>84</v>
      </c>
      <c r="P108" s="50">
        <f t="shared" si="17"/>
        <v>0</v>
      </c>
      <c r="Q108" s="70">
        <f t="shared" si="18"/>
        <v>0</v>
      </c>
      <c r="R108" s="70">
        <f t="shared" si="19"/>
        <v>0</v>
      </c>
      <c r="S108" s="70">
        <f t="shared" si="20"/>
        <v>0</v>
      </c>
      <c r="T108" s="70">
        <f t="shared" si="21"/>
        <v>0</v>
      </c>
      <c r="U108" s="70">
        <f t="shared" si="13"/>
        <v>0</v>
      </c>
      <c r="V108" s="345">
        <f t="shared" si="22"/>
        <v>0</v>
      </c>
      <c r="W108" s="345">
        <f t="shared" si="23"/>
        <v>0</v>
      </c>
      <c r="X108" s="85"/>
      <c r="Y108" s="85">
        <v>1</v>
      </c>
      <c r="Z108" s="85">
        <v>1</v>
      </c>
      <c r="AA108" s="86">
        <f t="shared" si="24"/>
        <v>0</v>
      </c>
      <c r="AB108" s="86">
        <f t="shared" si="25"/>
        <v>0</v>
      </c>
    </row>
    <row r="109" spans="1:28" ht="21" x14ac:dyDescent="0.25">
      <c r="A109" s="85" t="s">
        <v>249</v>
      </c>
      <c r="B109" s="85" t="s">
        <v>72</v>
      </c>
      <c r="C109" s="85" t="s">
        <v>128</v>
      </c>
      <c r="D109" s="111"/>
      <c r="E109" s="111"/>
      <c r="F109" s="85">
        <v>800</v>
      </c>
      <c r="G109" s="85"/>
      <c r="H109" s="85"/>
      <c r="I109" s="85"/>
      <c r="J109" s="85"/>
      <c r="K109" s="85">
        <v>26.8</v>
      </c>
      <c r="L109" s="85">
        <v>84</v>
      </c>
      <c r="M109" s="85">
        <v>33.6</v>
      </c>
      <c r="N109" s="85">
        <v>92</v>
      </c>
      <c r="O109" s="85">
        <f t="shared" si="16"/>
        <v>84</v>
      </c>
      <c r="P109" s="50">
        <f t="shared" si="17"/>
        <v>0</v>
      </c>
      <c r="Q109" s="70">
        <f t="shared" si="18"/>
        <v>0</v>
      </c>
      <c r="R109" s="70">
        <f t="shared" si="19"/>
        <v>0</v>
      </c>
      <c r="S109" s="70">
        <f t="shared" si="20"/>
        <v>0</v>
      </c>
      <c r="T109" s="70">
        <f t="shared" si="21"/>
        <v>0</v>
      </c>
      <c r="U109" s="70">
        <f t="shared" si="13"/>
        <v>0</v>
      </c>
      <c r="V109" s="345">
        <f t="shared" si="22"/>
        <v>0</v>
      </c>
      <c r="W109" s="345">
        <f t="shared" si="23"/>
        <v>0</v>
      </c>
      <c r="X109" s="85"/>
      <c r="Y109" s="85">
        <v>1</v>
      </c>
      <c r="Z109" s="85">
        <v>1</v>
      </c>
      <c r="AA109" s="86">
        <f t="shared" si="24"/>
        <v>0</v>
      </c>
      <c r="AB109" s="86">
        <f t="shared" si="25"/>
        <v>0</v>
      </c>
    </row>
    <row r="110" spans="1:28" ht="21" x14ac:dyDescent="0.25">
      <c r="A110" s="85" t="s">
        <v>251</v>
      </c>
      <c r="B110" s="85" t="s">
        <v>72</v>
      </c>
      <c r="C110" s="85" t="s">
        <v>128</v>
      </c>
      <c r="D110" s="111"/>
      <c r="E110" s="111"/>
      <c r="F110" s="85">
        <v>800</v>
      </c>
      <c r="G110" s="85"/>
      <c r="H110" s="85"/>
      <c r="I110" s="85"/>
      <c r="J110" s="85"/>
      <c r="K110" s="85">
        <v>26.8</v>
      </c>
      <c r="L110" s="85">
        <v>84</v>
      </c>
      <c r="M110" s="85">
        <v>33.6</v>
      </c>
      <c r="N110" s="85">
        <v>92</v>
      </c>
      <c r="O110" s="85">
        <f t="shared" si="16"/>
        <v>84</v>
      </c>
      <c r="P110" s="50">
        <f t="shared" si="17"/>
        <v>0</v>
      </c>
      <c r="Q110" s="70">
        <f t="shared" si="18"/>
        <v>0</v>
      </c>
      <c r="R110" s="70">
        <f t="shared" si="19"/>
        <v>0</v>
      </c>
      <c r="S110" s="70">
        <f t="shared" si="20"/>
        <v>0</v>
      </c>
      <c r="T110" s="70">
        <f t="shared" si="21"/>
        <v>0</v>
      </c>
      <c r="U110" s="70">
        <f t="shared" si="13"/>
        <v>0</v>
      </c>
      <c r="V110" s="345">
        <f t="shared" si="22"/>
        <v>0</v>
      </c>
      <c r="W110" s="345">
        <f t="shared" si="23"/>
        <v>0</v>
      </c>
      <c r="X110" s="85"/>
      <c r="Y110" s="85">
        <v>1</v>
      </c>
      <c r="Z110" s="85">
        <v>1</v>
      </c>
      <c r="AA110" s="86">
        <f t="shared" si="24"/>
        <v>0</v>
      </c>
      <c r="AB110" s="86">
        <f t="shared" si="25"/>
        <v>0</v>
      </c>
    </row>
    <row r="111" spans="1:28" ht="21" x14ac:dyDescent="0.25">
      <c r="A111" s="85" t="s">
        <v>249</v>
      </c>
      <c r="B111" s="85" t="s">
        <v>72</v>
      </c>
      <c r="C111" s="85" t="s">
        <v>46</v>
      </c>
      <c r="D111" s="111"/>
      <c r="E111" s="111"/>
      <c r="F111" s="85">
        <v>800</v>
      </c>
      <c r="G111" s="85">
        <v>16</v>
      </c>
      <c r="H111" s="85">
        <v>43</v>
      </c>
      <c r="I111" s="85">
        <v>17.2</v>
      </c>
      <c r="J111" s="85">
        <v>49.2</v>
      </c>
      <c r="K111" s="85">
        <v>13.9</v>
      </c>
      <c r="L111" s="85">
        <v>41</v>
      </c>
      <c r="M111" s="85">
        <v>16.399999999999999</v>
      </c>
      <c r="N111" s="85">
        <v>42.8</v>
      </c>
      <c r="O111" s="85">
        <f t="shared" si="16"/>
        <v>84</v>
      </c>
      <c r="P111" s="50">
        <f t="shared" si="17"/>
        <v>0</v>
      </c>
      <c r="Q111" s="70">
        <f t="shared" si="18"/>
        <v>0</v>
      </c>
      <c r="R111" s="70">
        <f t="shared" si="19"/>
        <v>0</v>
      </c>
      <c r="S111" s="70">
        <f t="shared" si="20"/>
        <v>0</v>
      </c>
      <c r="T111" s="70">
        <f t="shared" si="21"/>
        <v>0</v>
      </c>
      <c r="U111" s="70">
        <f t="shared" si="13"/>
        <v>0</v>
      </c>
      <c r="V111" s="345">
        <f t="shared" si="22"/>
        <v>0</v>
      </c>
      <c r="W111" s="345">
        <f t="shared" si="23"/>
        <v>0</v>
      </c>
      <c r="X111" s="85"/>
      <c r="Y111" s="85">
        <v>1</v>
      </c>
      <c r="Z111" s="85">
        <v>1</v>
      </c>
      <c r="AA111" s="86">
        <f t="shared" si="24"/>
        <v>0</v>
      </c>
      <c r="AB111" s="86">
        <f t="shared" si="25"/>
        <v>0</v>
      </c>
    </row>
    <row r="112" spans="1:28" ht="21" x14ac:dyDescent="0.25">
      <c r="A112" s="85" t="s">
        <v>251</v>
      </c>
      <c r="B112" s="85" t="s">
        <v>72</v>
      </c>
      <c r="C112" s="85" t="s">
        <v>46</v>
      </c>
      <c r="D112" s="111"/>
      <c r="E112" s="111"/>
      <c r="F112" s="85">
        <v>800</v>
      </c>
      <c r="G112" s="85">
        <v>16</v>
      </c>
      <c r="H112" s="85">
        <v>43</v>
      </c>
      <c r="I112" s="85">
        <v>17.2</v>
      </c>
      <c r="J112" s="85">
        <v>49.2</v>
      </c>
      <c r="K112" s="85">
        <v>13.9</v>
      </c>
      <c r="L112" s="85">
        <v>41</v>
      </c>
      <c r="M112" s="85">
        <v>16.399999999999999</v>
      </c>
      <c r="N112" s="85">
        <v>42.8</v>
      </c>
      <c r="O112" s="85">
        <f t="shared" si="16"/>
        <v>84</v>
      </c>
      <c r="P112" s="50">
        <f t="shared" si="17"/>
        <v>0</v>
      </c>
      <c r="Q112" s="70">
        <f t="shared" si="18"/>
        <v>0</v>
      </c>
      <c r="R112" s="70">
        <f t="shared" si="19"/>
        <v>0</v>
      </c>
      <c r="S112" s="70">
        <f t="shared" si="20"/>
        <v>0</v>
      </c>
      <c r="T112" s="70">
        <f t="shared" si="21"/>
        <v>0</v>
      </c>
      <c r="U112" s="70">
        <f t="shared" si="13"/>
        <v>0</v>
      </c>
      <c r="V112" s="345">
        <f t="shared" si="22"/>
        <v>0</v>
      </c>
      <c r="W112" s="345">
        <f t="shared" si="23"/>
        <v>0</v>
      </c>
      <c r="X112" s="85"/>
      <c r="Y112" s="85">
        <v>1</v>
      </c>
      <c r="Z112" s="85">
        <v>1</v>
      </c>
      <c r="AA112" s="86">
        <f t="shared" si="24"/>
        <v>0</v>
      </c>
      <c r="AB112" s="86">
        <f t="shared" si="25"/>
        <v>0</v>
      </c>
    </row>
    <row r="113" spans="1:28" ht="21" x14ac:dyDescent="0.25">
      <c r="A113" s="85" t="s">
        <v>249</v>
      </c>
      <c r="B113" s="85" t="s">
        <v>72</v>
      </c>
      <c r="C113" s="85" t="s">
        <v>47</v>
      </c>
      <c r="D113" s="111"/>
      <c r="E113" s="111"/>
      <c r="F113" s="85">
        <v>800</v>
      </c>
      <c r="G113" s="85">
        <v>9</v>
      </c>
      <c r="H113" s="85">
        <v>41</v>
      </c>
      <c r="I113" s="85">
        <v>16.399999999999999</v>
      </c>
      <c r="J113" s="85">
        <v>27.1</v>
      </c>
      <c r="K113" s="85">
        <v>21.5</v>
      </c>
      <c r="L113" s="85">
        <v>43</v>
      </c>
      <c r="M113" s="85">
        <v>17.2</v>
      </c>
      <c r="N113" s="85">
        <v>54.9</v>
      </c>
      <c r="O113" s="85">
        <f t="shared" si="16"/>
        <v>84</v>
      </c>
      <c r="P113" s="50">
        <f t="shared" si="17"/>
        <v>0</v>
      </c>
      <c r="Q113" s="70">
        <f t="shared" si="18"/>
        <v>0</v>
      </c>
      <c r="R113" s="70">
        <f t="shared" si="19"/>
        <v>0</v>
      </c>
      <c r="S113" s="70">
        <f t="shared" si="20"/>
        <v>0</v>
      </c>
      <c r="T113" s="70">
        <f t="shared" si="21"/>
        <v>0</v>
      </c>
      <c r="U113" s="70">
        <f t="shared" si="13"/>
        <v>0</v>
      </c>
      <c r="V113" s="345">
        <f t="shared" si="22"/>
        <v>0</v>
      </c>
      <c r="W113" s="345">
        <f t="shared" si="23"/>
        <v>0</v>
      </c>
      <c r="X113" s="85"/>
      <c r="Y113" s="85">
        <v>1</v>
      </c>
      <c r="Z113" s="85">
        <v>1</v>
      </c>
      <c r="AA113" s="86">
        <f t="shared" si="24"/>
        <v>0</v>
      </c>
      <c r="AB113" s="86">
        <f t="shared" si="25"/>
        <v>0</v>
      </c>
    </row>
    <row r="114" spans="1:28" ht="21" x14ac:dyDescent="0.25">
      <c r="A114" s="85" t="s">
        <v>251</v>
      </c>
      <c r="B114" s="85" t="s">
        <v>72</v>
      </c>
      <c r="C114" s="85" t="s">
        <v>47</v>
      </c>
      <c r="D114" s="111"/>
      <c r="E114" s="111"/>
      <c r="F114" s="85">
        <v>800</v>
      </c>
      <c r="G114" s="85">
        <v>9</v>
      </c>
      <c r="H114" s="85">
        <v>41</v>
      </c>
      <c r="I114" s="85">
        <v>16.399999999999999</v>
      </c>
      <c r="J114" s="85">
        <v>27.1</v>
      </c>
      <c r="K114" s="85">
        <v>21.5</v>
      </c>
      <c r="L114" s="85">
        <v>43</v>
      </c>
      <c r="M114" s="85">
        <v>17.2</v>
      </c>
      <c r="N114" s="85">
        <v>54.9</v>
      </c>
      <c r="O114" s="85">
        <f t="shared" si="16"/>
        <v>84</v>
      </c>
      <c r="P114" s="50">
        <f t="shared" si="17"/>
        <v>0</v>
      </c>
      <c r="Q114" s="70">
        <f t="shared" si="18"/>
        <v>0</v>
      </c>
      <c r="R114" s="70">
        <f t="shared" si="19"/>
        <v>0</v>
      </c>
      <c r="S114" s="70">
        <f t="shared" si="20"/>
        <v>0</v>
      </c>
      <c r="T114" s="70">
        <f t="shared" si="21"/>
        <v>0</v>
      </c>
      <c r="U114" s="70">
        <f t="shared" si="13"/>
        <v>0</v>
      </c>
      <c r="V114" s="345">
        <f t="shared" si="22"/>
        <v>0</v>
      </c>
      <c r="W114" s="345">
        <f t="shared" si="23"/>
        <v>0</v>
      </c>
      <c r="X114" s="85"/>
      <c r="Y114" s="85">
        <v>1</v>
      </c>
      <c r="Z114" s="85">
        <v>1</v>
      </c>
      <c r="AA114" s="86">
        <f t="shared" si="24"/>
        <v>0</v>
      </c>
      <c r="AB114" s="86">
        <f t="shared" si="25"/>
        <v>0</v>
      </c>
    </row>
    <row r="115" spans="1:28" ht="21" x14ac:dyDescent="0.25">
      <c r="A115" s="85" t="s">
        <v>249</v>
      </c>
      <c r="B115" s="85" t="s">
        <v>72</v>
      </c>
      <c r="C115" s="85" t="s">
        <v>45</v>
      </c>
      <c r="D115" s="111"/>
      <c r="E115" s="111"/>
      <c r="F115" s="85">
        <v>800</v>
      </c>
      <c r="G115" s="85">
        <v>26</v>
      </c>
      <c r="H115" s="85">
        <v>84</v>
      </c>
      <c r="I115" s="85">
        <v>33.6</v>
      </c>
      <c r="J115" s="85">
        <v>92</v>
      </c>
      <c r="K115" s="85"/>
      <c r="L115" s="85"/>
      <c r="M115" s="85"/>
      <c r="N115" s="85"/>
      <c r="O115" s="85">
        <f t="shared" si="16"/>
        <v>84</v>
      </c>
      <c r="P115" s="50">
        <f t="shared" si="17"/>
        <v>0</v>
      </c>
      <c r="Q115" s="70">
        <f t="shared" si="18"/>
        <v>0</v>
      </c>
      <c r="R115" s="70">
        <f t="shared" si="19"/>
        <v>0</v>
      </c>
      <c r="S115" s="70">
        <f t="shared" si="20"/>
        <v>0</v>
      </c>
      <c r="T115" s="70">
        <f t="shared" si="21"/>
        <v>0</v>
      </c>
      <c r="U115" s="70">
        <f t="shared" si="13"/>
        <v>0</v>
      </c>
      <c r="V115" s="345">
        <f t="shared" si="22"/>
        <v>0</v>
      </c>
      <c r="W115" s="345">
        <f t="shared" si="23"/>
        <v>0</v>
      </c>
      <c r="X115" s="85"/>
      <c r="Y115" s="85">
        <v>1</v>
      </c>
      <c r="Z115" s="85">
        <v>1</v>
      </c>
      <c r="AA115" s="86">
        <f t="shared" si="24"/>
        <v>0</v>
      </c>
      <c r="AB115" s="86">
        <f t="shared" si="25"/>
        <v>0</v>
      </c>
    </row>
    <row r="116" spans="1:28" ht="21" x14ac:dyDescent="0.25">
      <c r="A116" s="85" t="s">
        <v>251</v>
      </c>
      <c r="B116" s="85" t="s">
        <v>72</v>
      </c>
      <c r="C116" s="85" t="s">
        <v>45</v>
      </c>
      <c r="D116" s="111"/>
      <c r="E116" s="111"/>
      <c r="F116" s="85">
        <v>800</v>
      </c>
      <c r="G116" s="85">
        <v>26</v>
      </c>
      <c r="H116" s="85">
        <v>84</v>
      </c>
      <c r="I116" s="85">
        <v>33.6</v>
      </c>
      <c r="J116" s="85">
        <v>92</v>
      </c>
      <c r="K116" s="85"/>
      <c r="L116" s="85"/>
      <c r="M116" s="85"/>
      <c r="N116" s="85"/>
      <c r="O116" s="85">
        <f t="shared" si="16"/>
        <v>84</v>
      </c>
      <c r="P116" s="50">
        <f t="shared" si="17"/>
        <v>0</v>
      </c>
      <c r="Q116" s="70">
        <f t="shared" si="18"/>
        <v>0</v>
      </c>
      <c r="R116" s="70">
        <f t="shared" si="19"/>
        <v>0</v>
      </c>
      <c r="S116" s="70">
        <f t="shared" si="20"/>
        <v>0</v>
      </c>
      <c r="T116" s="70">
        <f t="shared" si="21"/>
        <v>0</v>
      </c>
      <c r="U116" s="70">
        <f t="shared" si="13"/>
        <v>0</v>
      </c>
      <c r="V116" s="345">
        <f t="shared" si="22"/>
        <v>0</v>
      </c>
      <c r="W116" s="345">
        <f t="shared" si="23"/>
        <v>0</v>
      </c>
      <c r="X116" s="85"/>
      <c r="Y116" s="85">
        <v>1</v>
      </c>
      <c r="Z116" s="85">
        <v>1</v>
      </c>
      <c r="AA116" s="86">
        <f t="shared" si="24"/>
        <v>0</v>
      </c>
      <c r="AB116" s="86">
        <f t="shared" si="25"/>
        <v>0</v>
      </c>
    </row>
    <row r="117" spans="1:28" ht="21" x14ac:dyDescent="0.25">
      <c r="A117" s="85" t="s">
        <v>249</v>
      </c>
      <c r="B117" s="85" t="s">
        <v>72</v>
      </c>
      <c r="C117" s="85" t="s">
        <v>57</v>
      </c>
      <c r="D117" s="111"/>
      <c r="E117" s="111"/>
      <c r="F117" s="85">
        <v>800</v>
      </c>
      <c r="G117" s="85">
        <v>26</v>
      </c>
      <c r="H117" s="85">
        <v>84</v>
      </c>
      <c r="I117" s="85">
        <v>33.6</v>
      </c>
      <c r="J117" s="85">
        <v>92</v>
      </c>
      <c r="K117" s="85"/>
      <c r="L117" s="85"/>
      <c r="M117" s="85"/>
      <c r="N117" s="85"/>
      <c r="O117" s="85">
        <f t="shared" si="16"/>
        <v>84</v>
      </c>
      <c r="P117" s="50">
        <f t="shared" si="17"/>
        <v>0</v>
      </c>
      <c r="Q117" s="70">
        <f t="shared" si="18"/>
        <v>0</v>
      </c>
      <c r="R117" s="70">
        <f t="shared" si="19"/>
        <v>0</v>
      </c>
      <c r="S117" s="70">
        <f t="shared" si="20"/>
        <v>0</v>
      </c>
      <c r="T117" s="70">
        <f t="shared" si="21"/>
        <v>0</v>
      </c>
      <c r="U117" s="70">
        <f t="shared" si="13"/>
        <v>0</v>
      </c>
      <c r="V117" s="345">
        <f t="shared" si="22"/>
        <v>0</v>
      </c>
      <c r="W117" s="345">
        <f t="shared" si="23"/>
        <v>0</v>
      </c>
      <c r="X117" s="85"/>
      <c r="Y117" s="85">
        <v>1</v>
      </c>
      <c r="Z117" s="85">
        <v>1</v>
      </c>
      <c r="AA117" s="86">
        <f t="shared" si="24"/>
        <v>0</v>
      </c>
      <c r="AB117" s="86">
        <f t="shared" si="25"/>
        <v>0</v>
      </c>
    </row>
    <row r="118" spans="1:28" ht="21" x14ac:dyDescent="0.25">
      <c r="A118" s="85" t="s">
        <v>251</v>
      </c>
      <c r="B118" s="85" t="s">
        <v>72</v>
      </c>
      <c r="C118" s="85" t="s">
        <v>57</v>
      </c>
      <c r="D118" s="111"/>
      <c r="E118" s="111"/>
      <c r="F118" s="85">
        <v>800</v>
      </c>
      <c r="G118" s="85">
        <v>26</v>
      </c>
      <c r="H118" s="85">
        <v>84</v>
      </c>
      <c r="I118" s="85">
        <v>33.6</v>
      </c>
      <c r="J118" s="85">
        <v>92</v>
      </c>
      <c r="K118" s="85"/>
      <c r="L118" s="85"/>
      <c r="M118" s="85"/>
      <c r="N118" s="85"/>
      <c r="O118" s="85">
        <f t="shared" si="16"/>
        <v>84</v>
      </c>
      <c r="P118" s="50">
        <f t="shared" si="17"/>
        <v>0</v>
      </c>
      <c r="Q118" s="70">
        <f t="shared" si="18"/>
        <v>0</v>
      </c>
      <c r="R118" s="70">
        <f t="shared" si="19"/>
        <v>0</v>
      </c>
      <c r="S118" s="70">
        <f t="shared" si="20"/>
        <v>0</v>
      </c>
      <c r="T118" s="70">
        <f t="shared" si="21"/>
        <v>0</v>
      </c>
      <c r="U118" s="70">
        <f t="shared" si="13"/>
        <v>0</v>
      </c>
      <c r="V118" s="345">
        <f t="shared" si="22"/>
        <v>0</v>
      </c>
      <c r="W118" s="345">
        <f t="shared" si="23"/>
        <v>0</v>
      </c>
      <c r="X118" s="85"/>
      <c r="Y118" s="85">
        <v>1</v>
      </c>
      <c r="Z118" s="85">
        <v>1</v>
      </c>
      <c r="AA118" s="86">
        <f t="shared" si="24"/>
        <v>0</v>
      </c>
      <c r="AB118" s="86">
        <f t="shared" si="25"/>
        <v>0</v>
      </c>
    </row>
    <row r="119" spans="1:28" ht="21" x14ac:dyDescent="0.25">
      <c r="A119" s="85" t="s">
        <v>249</v>
      </c>
      <c r="B119" s="85" t="s">
        <v>72</v>
      </c>
      <c r="C119" s="85" t="s">
        <v>49</v>
      </c>
      <c r="D119" s="111"/>
      <c r="E119" s="111"/>
      <c r="F119" s="85">
        <v>800</v>
      </c>
      <c r="G119" s="85">
        <v>2.8</v>
      </c>
      <c r="H119" s="85">
        <v>12</v>
      </c>
      <c r="I119" s="85">
        <v>4.8</v>
      </c>
      <c r="J119" s="85">
        <v>8.6</v>
      </c>
      <c r="K119" s="85">
        <v>24</v>
      </c>
      <c r="L119" s="85">
        <v>72</v>
      </c>
      <c r="M119" s="85">
        <v>28.8</v>
      </c>
      <c r="N119" s="85">
        <v>83.4</v>
      </c>
      <c r="O119" s="85">
        <f t="shared" si="16"/>
        <v>84</v>
      </c>
      <c r="P119" s="50">
        <f t="shared" si="17"/>
        <v>0</v>
      </c>
      <c r="Q119" s="70">
        <f t="shared" si="18"/>
        <v>0</v>
      </c>
      <c r="R119" s="70">
        <f t="shared" si="19"/>
        <v>0</v>
      </c>
      <c r="S119" s="70">
        <f t="shared" si="20"/>
        <v>0</v>
      </c>
      <c r="T119" s="70">
        <f t="shared" si="21"/>
        <v>0</v>
      </c>
      <c r="U119" s="70">
        <f t="shared" si="13"/>
        <v>0</v>
      </c>
      <c r="V119" s="345">
        <f t="shared" si="22"/>
        <v>0</v>
      </c>
      <c r="W119" s="345">
        <f t="shared" si="23"/>
        <v>0</v>
      </c>
      <c r="X119" s="85"/>
      <c r="Y119" s="85">
        <v>1</v>
      </c>
      <c r="Z119" s="85">
        <v>1</v>
      </c>
      <c r="AA119" s="86">
        <f t="shared" si="24"/>
        <v>0</v>
      </c>
      <c r="AB119" s="86">
        <f t="shared" si="25"/>
        <v>0</v>
      </c>
    </row>
    <row r="120" spans="1:28" ht="21" x14ac:dyDescent="0.25">
      <c r="A120" s="85" t="s">
        <v>251</v>
      </c>
      <c r="B120" s="85" t="s">
        <v>72</v>
      </c>
      <c r="C120" s="85" t="s">
        <v>49</v>
      </c>
      <c r="D120" s="111"/>
      <c r="E120" s="111"/>
      <c r="F120" s="85">
        <v>800</v>
      </c>
      <c r="G120" s="85">
        <v>2.8</v>
      </c>
      <c r="H120" s="85">
        <v>12</v>
      </c>
      <c r="I120" s="85">
        <v>4.8</v>
      </c>
      <c r="J120" s="85">
        <v>8.6</v>
      </c>
      <c r="K120" s="85">
        <v>24</v>
      </c>
      <c r="L120" s="85">
        <v>72</v>
      </c>
      <c r="M120" s="85">
        <v>28.8</v>
      </c>
      <c r="N120" s="85">
        <v>83.4</v>
      </c>
      <c r="O120" s="85">
        <f t="shared" si="16"/>
        <v>84</v>
      </c>
      <c r="P120" s="50">
        <f t="shared" si="17"/>
        <v>0</v>
      </c>
      <c r="Q120" s="70">
        <f t="shared" si="18"/>
        <v>0</v>
      </c>
      <c r="R120" s="70">
        <f t="shared" si="19"/>
        <v>0</v>
      </c>
      <c r="S120" s="70">
        <f t="shared" si="20"/>
        <v>0</v>
      </c>
      <c r="T120" s="70">
        <f t="shared" si="21"/>
        <v>0</v>
      </c>
      <c r="U120" s="70">
        <f t="shared" si="13"/>
        <v>0</v>
      </c>
      <c r="V120" s="345">
        <f t="shared" si="22"/>
        <v>0</v>
      </c>
      <c r="W120" s="345">
        <f t="shared" si="23"/>
        <v>0</v>
      </c>
      <c r="X120" s="85"/>
      <c r="Y120" s="85">
        <v>1</v>
      </c>
      <c r="Z120" s="85">
        <v>1</v>
      </c>
      <c r="AA120" s="86">
        <f t="shared" si="24"/>
        <v>0</v>
      </c>
      <c r="AB120" s="86">
        <f t="shared" si="25"/>
        <v>0</v>
      </c>
    </row>
    <row r="121" spans="1:28" ht="21" x14ac:dyDescent="0.25">
      <c r="A121" s="85" t="s">
        <v>249</v>
      </c>
      <c r="B121" s="85" t="s">
        <v>72</v>
      </c>
      <c r="C121" s="85" t="s">
        <v>126</v>
      </c>
      <c r="D121" s="111"/>
      <c r="E121" s="111"/>
      <c r="F121" s="85">
        <v>800</v>
      </c>
      <c r="G121" s="85"/>
      <c r="H121" s="85"/>
      <c r="I121" s="85"/>
      <c r="J121" s="85"/>
      <c r="K121" s="85">
        <v>26.8</v>
      </c>
      <c r="L121" s="85">
        <v>84</v>
      </c>
      <c r="M121" s="85">
        <v>33.6</v>
      </c>
      <c r="N121" s="85">
        <v>92</v>
      </c>
      <c r="O121" s="85">
        <f t="shared" si="16"/>
        <v>84</v>
      </c>
      <c r="P121" s="50">
        <f t="shared" si="17"/>
        <v>0</v>
      </c>
      <c r="Q121" s="70">
        <f t="shared" si="18"/>
        <v>0</v>
      </c>
      <c r="R121" s="70">
        <f t="shared" si="19"/>
        <v>0</v>
      </c>
      <c r="S121" s="70">
        <f t="shared" si="20"/>
        <v>0</v>
      </c>
      <c r="T121" s="70">
        <f t="shared" si="21"/>
        <v>0</v>
      </c>
      <c r="U121" s="70">
        <f t="shared" si="13"/>
        <v>0</v>
      </c>
      <c r="V121" s="345">
        <f t="shared" si="22"/>
        <v>0</v>
      </c>
      <c r="W121" s="345">
        <f t="shared" si="23"/>
        <v>0</v>
      </c>
      <c r="X121" s="85"/>
      <c r="Y121" s="85">
        <v>1</v>
      </c>
      <c r="Z121" s="85">
        <v>1</v>
      </c>
      <c r="AA121" s="86">
        <f t="shared" si="24"/>
        <v>0</v>
      </c>
      <c r="AB121" s="86">
        <f t="shared" si="25"/>
        <v>0</v>
      </c>
    </row>
    <row r="122" spans="1:28" ht="21" x14ac:dyDescent="0.25">
      <c r="A122" s="85" t="s">
        <v>251</v>
      </c>
      <c r="B122" s="85" t="s">
        <v>72</v>
      </c>
      <c r="C122" s="85" t="s">
        <v>126</v>
      </c>
      <c r="D122" s="111"/>
      <c r="E122" s="111"/>
      <c r="F122" s="85">
        <v>800</v>
      </c>
      <c r="G122" s="85"/>
      <c r="H122" s="85"/>
      <c r="I122" s="85"/>
      <c r="J122" s="85"/>
      <c r="K122" s="85">
        <v>26.8</v>
      </c>
      <c r="L122" s="85">
        <v>84</v>
      </c>
      <c r="M122" s="85">
        <v>33.6</v>
      </c>
      <c r="N122" s="85">
        <v>92</v>
      </c>
      <c r="O122" s="85">
        <f t="shared" si="16"/>
        <v>84</v>
      </c>
      <c r="P122" s="50">
        <f t="shared" si="17"/>
        <v>0</v>
      </c>
      <c r="Q122" s="70">
        <f t="shared" si="18"/>
        <v>0</v>
      </c>
      <c r="R122" s="70">
        <f t="shared" si="19"/>
        <v>0</v>
      </c>
      <c r="S122" s="70">
        <f t="shared" si="20"/>
        <v>0</v>
      </c>
      <c r="T122" s="70">
        <f t="shared" si="21"/>
        <v>0</v>
      </c>
      <c r="U122" s="70">
        <f t="shared" si="13"/>
        <v>0</v>
      </c>
      <c r="V122" s="345">
        <f t="shared" si="22"/>
        <v>0</v>
      </c>
      <c r="W122" s="345">
        <f t="shared" si="23"/>
        <v>0</v>
      </c>
      <c r="X122" s="85"/>
      <c r="Y122" s="85">
        <v>1</v>
      </c>
      <c r="Z122" s="85">
        <v>1</v>
      </c>
      <c r="AA122" s="86">
        <f t="shared" si="24"/>
        <v>0</v>
      </c>
      <c r="AB122" s="86">
        <f t="shared" si="25"/>
        <v>0</v>
      </c>
    </row>
    <row r="123" spans="1:28" ht="21" x14ac:dyDescent="0.25">
      <c r="A123" s="85" t="s">
        <v>249</v>
      </c>
      <c r="B123" s="85" t="s">
        <v>72</v>
      </c>
      <c r="C123" s="85" t="s">
        <v>58</v>
      </c>
      <c r="D123" s="111"/>
      <c r="E123" s="111"/>
      <c r="F123" s="85">
        <v>800</v>
      </c>
      <c r="G123" s="85">
        <v>13</v>
      </c>
      <c r="H123" s="85">
        <v>43</v>
      </c>
      <c r="I123" s="85">
        <v>17.2</v>
      </c>
      <c r="J123" s="85">
        <v>29.6</v>
      </c>
      <c r="K123" s="85">
        <v>27.4</v>
      </c>
      <c r="L123" s="85">
        <v>41</v>
      </c>
      <c r="M123" s="85">
        <v>16.399999999999999</v>
      </c>
      <c r="N123" s="85">
        <v>62.4</v>
      </c>
      <c r="O123" s="85">
        <f t="shared" si="16"/>
        <v>84</v>
      </c>
      <c r="P123" s="50">
        <f t="shared" si="17"/>
        <v>0</v>
      </c>
      <c r="Q123" s="70">
        <f t="shared" si="18"/>
        <v>0</v>
      </c>
      <c r="R123" s="70">
        <f t="shared" si="19"/>
        <v>0</v>
      </c>
      <c r="S123" s="70">
        <f t="shared" si="20"/>
        <v>0</v>
      </c>
      <c r="T123" s="70">
        <f t="shared" si="21"/>
        <v>0</v>
      </c>
      <c r="U123" s="70">
        <f t="shared" si="13"/>
        <v>0</v>
      </c>
      <c r="V123" s="345">
        <f t="shared" si="22"/>
        <v>0</v>
      </c>
      <c r="W123" s="345">
        <f t="shared" si="23"/>
        <v>0</v>
      </c>
      <c r="X123" s="85"/>
      <c r="Y123" s="85">
        <v>1</v>
      </c>
      <c r="Z123" s="85">
        <v>1</v>
      </c>
      <c r="AA123" s="86">
        <f t="shared" si="24"/>
        <v>0</v>
      </c>
      <c r="AB123" s="86">
        <f t="shared" si="25"/>
        <v>0</v>
      </c>
    </row>
    <row r="124" spans="1:28" ht="21" x14ac:dyDescent="0.25">
      <c r="A124" s="85" t="s">
        <v>251</v>
      </c>
      <c r="B124" s="85" t="s">
        <v>72</v>
      </c>
      <c r="C124" s="85" t="s">
        <v>58</v>
      </c>
      <c r="D124" s="111"/>
      <c r="E124" s="111"/>
      <c r="F124" s="85">
        <v>800</v>
      </c>
      <c r="G124" s="85">
        <v>13</v>
      </c>
      <c r="H124" s="85">
        <v>43</v>
      </c>
      <c r="I124" s="85">
        <v>17.2</v>
      </c>
      <c r="J124" s="85">
        <v>29.6</v>
      </c>
      <c r="K124" s="85">
        <v>27.4</v>
      </c>
      <c r="L124" s="85">
        <v>41</v>
      </c>
      <c r="M124" s="85">
        <v>16.399999999999999</v>
      </c>
      <c r="N124" s="85">
        <v>62.4</v>
      </c>
      <c r="O124" s="85">
        <f t="shared" si="16"/>
        <v>84</v>
      </c>
      <c r="P124" s="50">
        <f t="shared" si="17"/>
        <v>0</v>
      </c>
      <c r="Q124" s="70">
        <f t="shared" si="18"/>
        <v>0</v>
      </c>
      <c r="R124" s="70">
        <f t="shared" si="19"/>
        <v>0</v>
      </c>
      <c r="S124" s="70">
        <f t="shared" si="20"/>
        <v>0</v>
      </c>
      <c r="T124" s="70">
        <f t="shared" si="21"/>
        <v>0</v>
      </c>
      <c r="U124" s="70">
        <f t="shared" si="13"/>
        <v>0</v>
      </c>
      <c r="V124" s="345">
        <f t="shared" si="22"/>
        <v>0</v>
      </c>
      <c r="W124" s="345">
        <f t="shared" si="23"/>
        <v>0</v>
      </c>
      <c r="X124" s="85"/>
      <c r="Y124" s="85">
        <v>1</v>
      </c>
      <c r="Z124" s="85">
        <v>1</v>
      </c>
      <c r="AA124" s="86">
        <f t="shared" si="24"/>
        <v>0</v>
      </c>
      <c r="AB124" s="86">
        <f t="shared" si="25"/>
        <v>0</v>
      </c>
    </row>
    <row r="125" spans="1:28" ht="21" x14ac:dyDescent="0.25">
      <c r="A125" s="85" t="s">
        <v>230</v>
      </c>
      <c r="B125" s="85" t="s">
        <v>243</v>
      </c>
      <c r="C125" s="85" t="s">
        <v>56</v>
      </c>
      <c r="D125" s="111"/>
      <c r="E125" s="111"/>
      <c r="F125" s="85">
        <v>800</v>
      </c>
      <c r="G125" s="85">
        <v>4.3</v>
      </c>
      <c r="H125" s="85">
        <v>18.7</v>
      </c>
      <c r="I125" s="85">
        <v>7.5</v>
      </c>
      <c r="J125" s="85">
        <v>18.2</v>
      </c>
      <c r="K125" s="85">
        <v>25.7</v>
      </c>
      <c r="L125" s="85">
        <v>56.3</v>
      </c>
      <c r="M125" s="85">
        <v>22.5</v>
      </c>
      <c r="N125" s="85">
        <v>108.8</v>
      </c>
      <c r="O125" s="85">
        <f t="shared" si="16"/>
        <v>75</v>
      </c>
      <c r="P125" s="50">
        <f t="shared" si="17"/>
        <v>0</v>
      </c>
      <c r="Q125" s="70">
        <f t="shared" si="18"/>
        <v>0</v>
      </c>
      <c r="R125" s="70">
        <f t="shared" si="19"/>
        <v>0</v>
      </c>
      <c r="S125" s="70">
        <f t="shared" si="20"/>
        <v>0</v>
      </c>
      <c r="T125" s="70">
        <f t="shared" si="21"/>
        <v>0</v>
      </c>
      <c r="U125" s="70">
        <f t="shared" si="13"/>
        <v>0</v>
      </c>
      <c r="V125" s="345">
        <f t="shared" si="22"/>
        <v>0</v>
      </c>
      <c r="W125" s="345">
        <f t="shared" si="23"/>
        <v>0</v>
      </c>
      <c r="X125" s="85"/>
      <c r="Y125" s="85">
        <v>1</v>
      </c>
      <c r="Z125" s="85">
        <v>1</v>
      </c>
      <c r="AA125" s="86">
        <f t="shared" si="24"/>
        <v>0</v>
      </c>
      <c r="AB125" s="86">
        <f t="shared" si="25"/>
        <v>0</v>
      </c>
    </row>
    <row r="126" spans="1:28" ht="21" x14ac:dyDescent="0.25">
      <c r="A126" s="85" t="s">
        <v>230</v>
      </c>
      <c r="B126" s="85" t="s">
        <v>243</v>
      </c>
      <c r="C126" s="85" t="s">
        <v>127</v>
      </c>
      <c r="D126" s="111"/>
      <c r="E126" s="111"/>
      <c r="F126" s="85">
        <v>800</v>
      </c>
      <c r="G126" s="85"/>
      <c r="H126" s="85"/>
      <c r="I126" s="85"/>
      <c r="J126" s="85"/>
      <c r="K126" s="85">
        <v>30</v>
      </c>
      <c r="L126" s="85">
        <v>75</v>
      </c>
      <c r="M126" s="85">
        <v>30</v>
      </c>
      <c r="N126" s="85">
        <v>127</v>
      </c>
      <c r="O126" s="85">
        <f t="shared" si="16"/>
        <v>75</v>
      </c>
      <c r="P126" s="50">
        <f t="shared" si="17"/>
        <v>0</v>
      </c>
      <c r="Q126" s="70">
        <f t="shared" si="18"/>
        <v>0</v>
      </c>
      <c r="R126" s="70">
        <f t="shared" si="19"/>
        <v>0</v>
      </c>
      <c r="S126" s="70">
        <f t="shared" si="20"/>
        <v>0</v>
      </c>
      <c r="T126" s="70">
        <f t="shared" si="21"/>
        <v>0</v>
      </c>
      <c r="U126" s="70">
        <f t="shared" si="13"/>
        <v>0</v>
      </c>
      <c r="V126" s="345">
        <f t="shared" si="22"/>
        <v>0</v>
      </c>
      <c r="W126" s="345">
        <f t="shared" si="23"/>
        <v>0</v>
      </c>
      <c r="X126" s="85"/>
      <c r="Y126" s="85">
        <v>1</v>
      </c>
      <c r="Z126" s="85">
        <v>1</v>
      </c>
      <c r="AA126" s="86">
        <f t="shared" si="24"/>
        <v>0</v>
      </c>
      <c r="AB126" s="86">
        <f t="shared" si="25"/>
        <v>0</v>
      </c>
    </row>
    <row r="127" spans="1:28" ht="21" x14ac:dyDescent="0.25">
      <c r="A127" s="85" t="s">
        <v>230</v>
      </c>
      <c r="B127" s="85" t="s">
        <v>243</v>
      </c>
      <c r="C127" s="85" t="s">
        <v>59</v>
      </c>
      <c r="D127" s="111"/>
      <c r="E127" s="111"/>
      <c r="F127" s="85">
        <v>800</v>
      </c>
      <c r="G127" s="85">
        <v>3.3</v>
      </c>
      <c r="H127" s="85">
        <v>10.8</v>
      </c>
      <c r="I127" s="85">
        <v>4.3</v>
      </c>
      <c r="J127" s="85">
        <v>14.7</v>
      </c>
      <c r="K127" s="85">
        <v>26.3</v>
      </c>
      <c r="L127" s="85">
        <v>64.2</v>
      </c>
      <c r="M127" s="85">
        <v>25.7</v>
      </c>
      <c r="N127" s="85">
        <v>112.3</v>
      </c>
      <c r="O127" s="85">
        <f t="shared" si="16"/>
        <v>75</v>
      </c>
      <c r="P127" s="50">
        <f t="shared" si="17"/>
        <v>0</v>
      </c>
      <c r="Q127" s="70">
        <f t="shared" si="18"/>
        <v>0</v>
      </c>
      <c r="R127" s="70">
        <f t="shared" si="19"/>
        <v>0</v>
      </c>
      <c r="S127" s="70">
        <f t="shared" si="20"/>
        <v>0</v>
      </c>
      <c r="T127" s="70">
        <f t="shared" si="21"/>
        <v>0</v>
      </c>
      <c r="U127" s="70">
        <f t="shared" si="13"/>
        <v>0</v>
      </c>
      <c r="V127" s="345">
        <f t="shared" si="22"/>
        <v>0</v>
      </c>
      <c r="W127" s="345">
        <f t="shared" si="23"/>
        <v>0</v>
      </c>
      <c r="X127" s="85"/>
      <c r="Y127" s="85">
        <v>1</v>
      </c>
      <c r="Z127" s="85">
        <v>1</v>
      </c>
      <c r="AA127" s="86">
        <f t="shared" si="24"/>
        <v>0</v>
      </c>
      <c r="AB127" s="86">
        <f t="shared" si="25"/>
        <v>0</v>
      </c>
    </row>
    <row r="128" spans="1:28" ht="21" x14ac:dyDescent="0.25">
      <c r="A128" s="85" t="s">
        <v>230</v>
      </c>
      <c r="B128" s="85" t="s">
        <v>243</v>
      </c>
      <c r="C128" s="85" t="s">
        <v>128</v>
      </c>
      <c r="D128" s="111"/>
      <c r="E128" s="111"/>
      <c r="F128" s="85">
        <v>800</v>
      </c>
      <c r="G128" s="85"/>
      <c r="H128" s="85"/>
      <c r="I128" s="85"/>
      <c r="J128" s="85"/>
      <c r="K128" s="85">
        <v>29.6</v>
      </c>
      <c r="L128" s="85">
        <v>75</v>
      </c>
      <c r="M128" s="85">
        <v>30</v>
      </c>
      <c r="N128" s="85">
        <v>127</v>
      </c>
      <c r="O128" s="85">
        <f t="shared" si="16"/>
        <v>75</v>
      </c>
      <c r="P128" s="50">
        <f t="shared" si="17"/>
        <v>0</v>
      </c>
      <c r="Q128" s="70">
        <f t="shared" si="18"/>
        <v>0</v>
      </c>
      <c r="R128" s="70">
        <f t="shared" si="19"/>
        <v>0</v>
      </c>
      <c r="S128" s="70">
        <f t="shared" si="20"/>
        <v>0</v>
      </c>
      <c r="T128" s="70">
        <f t="shared" si="21"/>
        <v>0</v>
      </c>
      <c r="U128" s="70">
        <f t="shared" si="13"/>
        <v>0</v>
      </c>
      <c r="V128" s="345">
        <f t="shared" si="22"/>
        <v>0</v>
      </c>
      <c r="W128" s="345">
        <f t="shared" si="23"/>
        <v>0</v>
      </c>
      <c r="X128" s="85"/>
      <c r="Y128" s="85">
        <v>1</v>
      </c>
      <c r="Z128" s="85">
        <v>1</v>
      </c>
      <c r="AA128" s="86">
        <f t="shared" si="24"/>
        <v>0</v>
      </c>
      <c r="AB128" s="86">
        <f t="shared" si="25"/>
        <v>0</v>
      </c>
    </row>
    <row r="129" spans="1:29" ht="21" x14ac:dyDescent="0.25">
      <c r="A129" s="85" t="s">
        <v>230</v>
      </c>
      <c r="B129" s="85" t="s">
        <v>243</v>
      </c>
      <c r="C129" s="85" t="s">
        <v>46</v>
      </c>
      <c r="D129" s="111"/>
      <c r="E129" s="111"/>
      <c r="F129" s="85">
        <v>800</v>
      </c>
      <c r="G129" s="85">
        <v>13.7</v>
      </c>
      <c r="H129" s="85">
        <v>44.2</v>
      </c>
      <c r="I129" s="85">
        <v>17.7</v>
      </c>
      <c r="J129" s="85">
        <v>68</v>
      </c>
      <c r="K129" s="85">
        <v>12</v>
      </c>
      <c r="L129" s="85">
        <v>30.8</v>
      </c>
      <c r="M129" s="85">
        <v>12.3</v>
      </c>
      <c r="N129" s="85">
        <v>59</v>
      </c>
      <c r="O129" s="85">
        <f t="shared" si="16"/>
        <v>75</v>
      </c>
      <c r="P129" s="50">
        <f t="shared" si="17"/>
        <v>0</v>
      </c>
      <c r="Q129" s="70">
        <f t="shared" si="18"/>
        <v>0</v>
      </c>
      <c r="R129" s="70">
        <f t="shared" si="19"/>
        <v>0</v>
      </c>
      <c r="S129" s="70">
        <f t="shared" si="20"/>
        <v>0</v>
      </c>
      <c r="T129" s="70">
        <f t="shared" si="21"/>
        <v>0</v>
      </c>
      <c r="U129" s="70">
        <f t="shared" si="13"/>
        <v>0</v>
      </c>
      <c r="V129" s="345">
        <f t="shared" si="22"/>
        <v>0</v>
      </c>
      <c r="W129" s="345">
        <f t="shared" si="23"/>
        <v>0</v>
      </c>
      <c r="X129" s="85"/>
      <c r="Y129" s="85">
        <v>1</v>
      </c>
      <c r="Z129" s="85">
        <v>1</v>
      </c>
      <c r="AA129" s="86">
        <f t="shared" si="24"/>
        <v>0</v>
      </c>
      <c r="AB129" s="86">
        <f t="shared" si="25"/>
        <v>0</v>
      </c>
    </row>
    <row r="130" spans="1:29" ht="21" x14ac:dyDescent="0.25">
      <c r="A130" s="85" t="s">
        <v>230</v>
      </c>
      <c r="B130" s="85" t="s">
        <v>243</v>
      </c>
      <c r="C130" s="85" t="s">
        <v>47</v>
      </c>
      <c r="D130" s="111"/>
      <c r="E130" s="111"/>
      <c r="F130" s="85">
        <v>800</v>
      </c>
      <c r="G130" s="85">
        <v>7.7</v>
      </c>
      <c r="H130" s="85">
        <v>24.7</v>
      </c>
      <c r="I130" s="85">
        <v>9.9</v>
      </c>
      <c r="J130" s="85">
        <v>37.5</v>
      </c>
      <c r="K130" s="85">
        <v>18.7</v>
      </c>
      <c r="L130" s="85">
        <v>50.3</v>
      </c>
      <c r="M130" s="85">
        <v>20.100000000000001</v>
      </c>
      <c r="N130" s="85">
        <v>89.5</v>
      </c>
      <c r="O130" s="85">
        <f t="shared" si="16"/>
        <v>75</v>
      </c>
      <c r="P130" s="50">
        <f t="shared" si="17"/>
        <v>0</v>
      </c>
      <c r="Q130" s="70">
        <f t="shared" si="18"/>
        <v>0</v>
      </c>
      <c r="R130" s="70">
        <f t="shared" si="19"/>
        <v>0</v>
      </c>
      <c r="S130" s="70">
        <f t="shared" si="20"/>
        <v>0</v>
      </c>
      <c r="T130" s="70">
        <f t="shared" si="21"/>
        <v>0</v>
      </c>
      <c r="U130" s="70">
        <f t="shared" si="13"/>
        <v>0</v>
      </c>
      <c r="V130" s="345">
        <f t="shared" si="22"/>
        <v>0</v>
      </c>
      <c r="W130" s="345">
        <f t="shared" si="23"/>
        <v>0</v>
      </c>
      <c r="X130" s="85"/>
      <c r="Y130" s="85">
        <v>1</v>
      </c>
      <c r="Z130" s="85">
        <v>1</v>
      </c>
      <c r="AA130" s="86">
        <f t="shared" si="24"/>
        <v>0</v>
      </c>
      <c r="AB130" s="86">
        <f t="shared" si="25"/>
        <v>0</v>
      </c>
    </row>
    <row r="131" spans="1:29" ht="21" x14ac:dyDescent="0.25">
      <c r="A131" s="85" t="s">
        <v>230</v>
      </c>
      <c r="B131" s="85" t="s">
        <v>243</v>
      </c>
      <c r="C131" s="85" t="s">
        <v>45</v>
      </c>
      <c r="D131" s="111"/>
      <c r="E131" s="111"/>
      <c r="F131" s="85">
        <v>800</v>
      </c>
      <c r="G131" s="85">
        <v>22.3</v>
      </c>
      <c r="H131" s="85">
        <v>75</v>
      </c>
      <c r="I131" s="85">
        <v>30</v>
      </c>
      <c r="J131" s="85">
        <v>127</v>
      </c>
      <c r="K131" s="85"/>
      <c r="L131" s="85"/>
      <c r="M131" s="85"/>
      <c r="N131" s="85"/>
      <c r="O131" s="85">
        <f t="shared" si="16"/>
        <v>75</v>
      </c>
      <c r="P131" s="50">
        <f t="shared" si="17"/>
        <v>0</v>
      </c>
      <c r="Q131" s="70">
        <f t="shared" si="18"/>
        <v>0</v>
      </c>
      <c r="R131" s="70">
        <f t="shared" si="19"/>
        <v>0</v>
      </c>
      <c r="S131" s="70">
        <f t="shared" si="20"/>
        <v>0</v>
      </c>
      <c r="T131" s="70">
        <f t="shared" si="21"/>
        <v>0</v>
      </c>
      <c r="U131" s="70">
        <f t="shared" si="13"/>
        <v>0</v>
      </c>
      <c r="V131" s="345">
        <f t="shared" si="22"/>
        <v>0</v>
      </c>
      <c r="W131" s="345">
        <f t="shared" si="23"/>
        <v>0</v>
      </c>
      <c r="X131" s="85"/>
      <c r="Y131" s="85">
        <v>1</v>
      </c>
      <c r="Z131" s="85">
        <v>1</v>
      </c>
      <c r="AA131" s="86">
        <f t="shared" si="24"/>
        <v>0</v>
      </c>
      <c r="AB131" s="86">
        <f t="shared" si="25"/>
        <v>0</v>
      </c>
    </row>
    <row r="132" spans="1:29" ht="21" x14ac:dyDescent="0.25">
      <c r="A132" s="85" t="s">
        <v>230</v>
      </c>
      <c r="B132" s="85" t="s">
        <v>243</v>
      </c>
      <c r="C132" s="85" t="s">
        <v>57</v>
      </c>
      <c r="D132" s="111"/>
      <c r="E132" s="111"/>
      <c r="F132" s="85">
        <v>800</v>
      </c>
      <c r="G132" s="85">
        <v>22</v>
      </c>
      <c r="H132" s="85">
        <v>75</v>
      </c>
      <c r="I132" s="85">
        <v>30</v>
      </c>
      <c r="J132" s="85">
        <v>127</v>
      </c>
      <c r="K132" s="85"/>
      <c r="L132" s="85"/>
      <c r="M132" s="85"/>
      <c r="N132" s="85"/>
      <c r="O132" s="85">
        <f t="shared" si="16"/>
        <v>75</v>
      </c>
      <c r="P132" s="50">
        <f t="shared" si="17"/>
        <v>0</v>
      </c>
      <c r="Q132" s="70">
        <f t="shared" si="18"/>
        <v>0</v>
      </c>
      <c r="R132" s="70">
        <f t="shared" si="19"/>
        <v>0</v>
      </c>
      <c r="S132" s="70">
        <f t="shared" si="20"/>
        <v>0</v>
      </c>
      <c r="T132" s="70">
        <f t="shared" si="21"/>
        <v>0</v>
      </c>
      <c r="U132" s="70">
        <f t="shared" si="13"/>
        <v>0</v>
      </c>
      <c r="V132" s="345">
        <f t="shared" si="22"/>
        <v>0</v>
      </c>
      <c r="W132" s="345">
        <f t="shared" si="23"/>
        <v>0</v>
      </c>
      <c r="X132" s="85"/>
      <c r="Y132" s="85">
        <v>1</v>
      </c>
      <c r="Z132" s="85">
        <v>1</v>
      </c>
      <c r="AA132" s="86">
        <f t="shared" si="24"/>
        <v>0</v>
      </c>
      <c r="AB132" s="86">
        <f t="shared" si="25"/>
        <v>0</v>
      </c>
    </row>
    <row r="133" spans="1:29" ht="21" x14ac:dyDescent="0.25">
      <c r="A133" s="85" t="s">
        <v>230</v>
      </c>
      <c r="B133" s="85" t="s">
        <v>243</v>
      </c>
      <c r="C133" s="85" t="s">
        <v>49</v>
      </c>
      <c r="D133" s="111"/>
      <c r="E133" s="111"/>
      <c r="F133" s="85">
        <v>800</v>
      </c>
      <c r="G133" s="85">
        <v>3.3</v>
      </c>
      <c r="H133" s="85">
        <v>10.8</v>
      </c>
      <c r="I133" s="85">
        <v>4.3</v>
      </c>
      <c r="J133" s="85">
        <v>11.9</v>
      </c>
      <c r="K133" s="85">
        <v>33</v>
      </c>
      <c r="L133" s="85">
        <v>64.2</v>
      </c>
      <c r="M133" s="85">
        <v>25.7</v>
      </c>
      <c r="N133" s="85">
        <v>115.1</v>
      </c>
      <c r="O133" s="85">
        <f t="shared" si="16"/>
        <v>75</v>
      </c>
      <c r="P133" s="50">
        <f t="shared" si="17"/>
        <v>0</v>
      </c>
      <c r="Q133" s="70">
        <f t="shared" si="18"/>
        <v>0</v>
      </c>
      <c r="R133" s="70">
        <f t="shared" si="19"/>
        <v>0</v>
      </c>
      <c r="S133" s="70">
        <f t="shared" si="20"/>
        <v>0</v>
      </c>
      <c r="T133" s="70">
        <f t="shared" si="21"/>
        <v>0</v>
      </c>
      <c r="U133" s="70">
        <f t="shared" si="13"/>
        <v>0</v>
      </c>
      <c r="V133" s="345">
        <f t="shared" si="22"/>
        <v>0</v>
      </c>
      <c r="W133" s="345">
        <f t="shared" si="23"/>
        <v>0</v>
      </c>
      <c r="X133" s="85"/>
      <c r="Y133" s="85">
        <v>1</v>
      </c>
      <c r="Z133" s="85">
        <v>1</v>
      </c>
      <c r="AA133" s="86">
        <f t="shared" si="24"/>
        <v>0</v>
      </c>
      <c r="AB133" s="86">
        <f t="shared" si="25"/>
        <v>0</v>
      </c>
    </row>
    <row r="134" spans="1:29" ht="21" x14ac:dyDescent="0.25">
      <c r="A134" s="85" t="s">
        <v>230</v>
      </c>
      <c r="B134" s="85" t="s">
        <v>243</v>
      </c>
      <c r="C134" s="85" t="s">
        <v>126</v>
      </c>
      <c r="D134" s="111"/>
      <c r="E134" s="111"/>
      <c r="F134" s="85">
        <v>800</v>
      </c>
      <c r="G134" s="85"/>
      <c r="H134" s="85"/>
      <c r="I134" s="85"/>
      <c r="J134" s="85"/>
      <c r="K134" s="85">
        <v>36.299999999999997</v>
      </c>
      <c r="L134" s="85">
        <v>75</v>
      </c>
      <c r="M134" s="85">
        <v>30</v>
      </c>
      <c r="N134" s="85">
        <v>127</v>
      </c>
      <c r="O134" s="85">
        <f t="shared" si="16"/>
        <v>75</v>
      </c>
      <c r="P134" s="50">
        <f t="shared" si="17"/>
        <v>0</v>
      </c>
      <c r="Q134" s="70">
        <f t="shared" si="18"/>
        <v>0</v>
      </c>
      <c r="R134" s="70">
        <f t="shared" si="19"/>
        <v>0</v>
      </c>
      <c r="S134" s="70">
        <f t="shared" si="20"/>
        <v>0</v>
      </c>
      <c r="T134" s="70">
        <f t="shared" si="21"/>
        <v>0</v>
      </c>
      <c r="U134" s="70">
        <f t="shared" si="13"/>
        <v>0</v>
      </c>
      <c r="V134" s="345">
        <f t="shared" si="22"/>
        <v>0</v>
      </c>
      <c r="W134" s="345">
        <f t="shared" si="23"/>
        <v>0</v>
      </c>
      <c r="X134" s="85"/>
      <c r="Y134" s="85">
        <v>1</v>
      </c>
      <c r="Z134" s="85">
        <v>1</v>
      </c>
      <c r="AA134" s="86">
        <f t="shared" si="24"/>
        <v>0</v>
      </c>
      <c r="AB134" s="86">
        <f t="shared" si="25"/>
        <v>0</v>
      </c>
    </row>
    <row r="135" spans="1:29" ht="21" x14ac:dyDescent="0.25">
      <c r="A135" s="85" t="s">
        <v>230</v>
      </c>
      <c r="B135" s="85" t="s">
        <v>243</v>
      </c>
      <c r="C135" s="85" t="s">
        <v>58</v>
      </c>
      <c r="D135" s="111"/>
      <c r="E135" s="111"/>
      <c r="F135" s="85">
        <v>800</v>
      </c>
      <c r="G135" s="85">
        <v>11.3</v>
      </c>
      <c r="H135" s="85">
        <v>38.5</v>
      </c>
      <c r="I135" s="85">
        <v>15.4</v>
      </c>
      <c r="J135" s="85">
        <v>40.9</v>
      </c>
      <c r="K135" s="85">
        <v>23.7</v>
      </c>
      <c r="L135" s="85">
        <v>36.5</v>
      </c>
      <c r="M135" s="85">
        <v>14.6</v>
      </c>
      <c r="N135" s="85">
        <v>86.1</v>
      </c>
      <c r="O135" s="85">
        <f t="shared" si="16"/>
        <v>75</v>
      </c>
      <c r="P135" s="50">
        <f t="shared" si="17"/>
        <v>0</v>
      </c>
      <c r="Q135" s="70">
        <f t="shared" si="18"/>
        <v>0</v>
      </c>
      <c r="R135" s="70">
        <f t="shared" si="19"/>
        <v>0</v>
      </c>
      <c r="S135" s="70">
        <f t="shared" si="20"/>
        <v>0</v>
      </c>
      <c r="T135" s="70">
        <f t="shared" si="21"/>
        <v>0</v>
      </c>
      <c r="U135" s="70">
        <f t="shared" si="13"/>
        <v>0</v>
      </c>
      <c r="V135" s="345">
        <f t="shared" si="22"/>
        <v>0</v>
      </c>
      <c r="W135" s="345">
        <f t="shared" si="23"/>
        <v>0</v>
      </c>
      <c r="X135" s="85"/>
      <c r="Y135" s="85">
        <v>1</v>
      </c>
      <c r="Z135" s="85">
        <v>1</v>
      </c>
      <c r="AA135" s="86">
        <f t="shared" si="24"/>
        <v>0</v>
      </c>
      <c r="AB135" s="86">
        <f t="shared" si="25"/>
        <v>0</v>
      </c>
    </row>
    <row r="136" spans="1:29" ht="24" customHeight="1" x14ac:dyDescent="0.25">
      <c r="A136" s="74" t="s">
        <v>264</v>
      </c>
      <c r="B136" s="88"/>
      <c r="C136" s="88"/>
      <c r="D136" s="134">
        <f>SUM(D8:D135)</f>
        <v>0</v>
      </c>
      <c r="E136" s="92"/>
      <c r="F136" s="3"/>
      <c r="G136" s="88"/>
      <c r="H136" s="88"/>
      <c r="I136" s="88"/>
      <c r="J136" s="88"/>
      <c r="K136" s="88"/>
      <c r="L136" s="88"/>
      <c r="M136" s="88"/>
      <c r="N136" s="88"/>
      <c r="O136" s="80"/>
      <c r="P136" s="113">
        <f t="shared" ref="P136:W136" si="26">SUM(P8:P135)</f>
        <v>0</v>
      </c>
      <c r="Q136" s="113">
        <f t="shared" si="26"/>
        <v>0</v>
      </c>
      <c r="R136" s="113">
        <f t="shared" si="26"/>
        <v>0</v>
      </c>
      <c r="S136" s="113">
        <f t="shared" si="26"/>
        <v>0</v>
      </c>
      <c r="T136" s="170">
        <f t="shared" si="26"/>
        <v>0</v>
      </c>
      <c r="U136" s="113">
        <f t="shared" si="26"/>
        <v>0</v>
      </c>
      <c r="V136" s="113">
        <f t="shared" si="26"/>
        <v>0</v>
      </c>
      <c r="W136" s="113">
        <f t="shared" si="26"/>
        <v>0</v>
      </c>
      <c r="X136" s="172"/>
      <c r="Y136" s="172"/>
      <c r="Z136" s="172"/>
      <c r="AA136" s="113">
        <f>SUM(AA8:AA135)</f>
        <v>0</v>
      </c>
      <c r="AB136" s="171">
        <f>SUM(AB8:AB135)</f>
        <v>0</v>
      </c>
      <c r="AC136" s="69"/>
    </row>
  </sheetData>
  <sheetProtection sheet="1"/>
  <phoneticPr fontId="7" type="noConversion"/>
  <pageMargins left="0.23622047244094491" right="0.23622047244094491" top="0.47244094488188981" bottom="0.47244094488188981" header="0.35433070866141736" footer="0.43307086614173229"/>
  <pageSetup paperSize="9" scale="70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12</vt:i4>
      </vt:variant>
    </vt:vector>
  </HeadingPairs>
  <TitlesOfParts>
    <vt:vector size="26" baseType="lpstr">
      <vt:lpstr>Quadro_Riassuntivo</vt:lpstr>
      <vt:lpstr>Aree_Scoperte</vt:lpstr>
      <vt:lpstr>Acquis_Cessioni_Prod_Agg</vt:lpstr>
      <vt:lpstr>Stoccaggi</vt:lpstr>
      <vt:lpstr>Bovini_Latte</vt:lpstr>
      <vt:lpstr>Bovini_Carne</vt:lpstr>
      <vt:lpstr>Avicoli</vt:lpstr>
      <vt:lpstr>Bufalini_Latte</vt:lpstr>
      <vt:lpstr>Bufalini_Carne</vt:lpstr>
      <vt:lpstr>Caprini</vt:lpstr>
      <vt:lpstr>Cunicoli</vt:lpstr>
      <vt:lpstr>Equini</vt:lpstr>
      <vt:lpstr>Ovini</vt:lpstr>
      <vt:lpstr>Suini</vt:lpstr>
      <vt:lpstr>Bovini_Latte!Stabulazioni</vt:lpstr>
      <vt:lpstr>Bufalini_Latte!Stabulazioni</vt:lpstr>
      <vt:lpstr>Avicoli!Titoli_stampa</vt:lpstr>
      <vt:lpstr>Bovini_Carne!Titoli_stampa</vt:lpstr>
      <vt:lpstr>Bovini_Latte!Titoli_stampa</vt:lpstr>
      <vt:lpstr>Bufalini_Carne!Titoli_stampa</vt:lpstr>
      <vt:lpstr>Bufalini_Latte!Titoli_stampa</vt:lpstr>
      <vt:lpstr>Caprini!Titoli_stampa</vt:lpstr>
      <vt:lpstr>Cunicoli!Titoli_stampa</vt:lpstr>
      <vt:lpstr>Equini!Titoli_stampa</vt:lpstr>
      <vt:lpstr>Ovini!Titoli_stampa</vt:lpstr>
      <vt:lpstr>Suini!Titoli_stampa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Lombardia</dc:creator>
  <cp:lastModifiedBy>Michele Gioletta</cp:lastModifiedBy>
  <cp:lastPrinted>2021-05-17T11:06:21Z</cp:lastPrinted>
  <dcterms:created xsi:type="dcterms:W3CDTF">2010-03-08T11:06:37Z</dcterms:created>
  <dcterms:modified xsi:type="dcterms:W3CDTF">2021-05-19T13:42:16Z</dcterms:modified>
</cp:coreProperties>
</file>